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0" windowWidth="24000" windowHeight="9600" activeTab="5"/>
  </bookViews>
  <sheets>
    <sheet name="SAL 2018 " sheetId="1" r:id="rId1"/>
    <sheet name="SAL 2019" sheetId="2" r:id="rId2"/>
    <sheet name="SAL 2020" sheetId="3" r:id="rId3"/>
    <sheet name="SAL 2021" sheetId="4" r:id="rId4"/>
    <sheet name="SAL 2022" sheetId="5" r:id="rId5"/>
    <sheet name="SAL 2023" sheetId="6" r:id="rId6"/>
  </sheets>
  <definedNames>
    <definedName name="_xlnm.Print_Area" localSheetId="0">'SAL 2018 '!$A$1:$H$181</definedName>
    <definedName name="_xlnm.Print_Area" localSheetId="1">'SAL 2019'!$A$1:$H$183</definedName>
    <definedName name="_xlnm.Print_Area" localSheetId="2">'SAL 2020'!$A$1:$H$181</definedName>
    <definedName name="_xlnm.Print_Area" localSheetId="3">'SAL 2021'!$A$1:$H$184</definedName>
    <definedName name="_xlnm.Print_Area" localSheetId="4">'SAL 2022'!$A$1:$H$186</definedName>
    <definedName name="_xlnm.Print_Area">'SAL 2019'!$A$2:$H$181</definedName>
  </definedNames>
  <calcPr fullCalcOnLoad="1"/>
</workbook>
</file>

<file path=xl/sharedStrings.xml><?xml version="1.0" encoding="utf-8"?>
<sst xmlns="http://schemas.openxmlformats.org/spreadsheetml/2006/main" count="1251" uniqueCount="201">
  <si>
    <t xml:space="preserve"> </t>
  </si>
  <si>
    <t>%</t>
  </si>
  <si>
    <t>+ / -</t>
  </si>
  <si>
    <t>DISTRICT 1</t>
  </si>
  <si>
    <t xml:space="preserve"> North Adams</t>
  </si>
  <si>
    <t xml:space="preserve"> Williamstown </t>
  </si>
  <si>
    <t xml:space="preserve"> Dalton </t>
  </si>
  <si>
    <t>TOTAL</t>
  </si>
  <si>
    <t>DISTRICT 2</t>
  </si>
  <si>
    <t>DISTRICT 3</t>
  </si>
  <si>
    <t>DISTRICT 4</t>
  </si>
  <si>
    <t>Fitchburg</t>
  </si>
  <si>
    <t>DISTRICT 5</t>
  </si>
  <si>
    <t>Somerville</t>
  </si>
  <si>
    <t xml:space="preserve"> Arlington </t>
  </si>
  <si>
    <t>DISTRICT 6</t>
  </si>
  <si>
    <t>DISTRICT 7</t>
  </si>
  <si>
    <t>DISTRICT 8</t>
  </si>
  <si>
    <t>DISTRICT 9</t>
  </si>
  <si>
    <t>DISTRICT 10</t>
  </si>
  <si>
    <t xml:space="preserve">TOTAL </t>
  </si>
  <si>
    <t>SONS OF THE AMERICAN LEGION</t>
  </si>
  <si>
    <t>LAST</t>
  </si>
  <si>
    <t>AS OF</t>
  </si>
  <si>
    <t>Easthampton</t>
  </si>
  <si>
    <t>Palmer</t>
  </si>
  <si>
    <t>Southwick</t>
  </si>
  <si>
    <t>Northboro</t>
  </si>
  <si>
    <t>Baldwinville</t>
  </si>
  <si>
    <t>Morrisette</t>
  </si>
  <si>
    <t>Swansea</t>
  </si>
  <si>
    <t>Nantucket</t>
  </si>
  <si>
    <t>Hanover</t>
  </si>
  <si>
    <t>DISTRICT</t>
  </si>
  <si>
    <t>TRANS</t>
  </si>
  <si>
    <t>Chelmsford</t>
  </si>
  <si>
    <t>Webster</t>
  </si>
  <si>
    <t>Pittsfield</t>
  </si>
  <si>
    <t>Waltham</t>
  </si>
  <si>
    <t>Auburn</t>
  </si>
  <si>
    <t>Adams</t>
  </si>
  <si>
    <t>Northampton</t>
  </si>
  <si>
    <t>Athol</t>
  </si>
  <si>
    <t>W. Brookfield</t>
  </si>
  <si>
    <t>Stoneham</t>
  </si>
  <si>
    <t>Ware</t>
  </si>
  <si>
    <t>Greenfield</t>
  </si>
  <si>
    <t xml:space="preserve">Orange </t>
  </si>
  <si>
    <t xml:space="preserve">Agawam </t>
  </si>
  <si>
    <t xml:space="preserve">Chicopee Falls </t>
  </si>
  <si>
    <t xml:space="preserve">Indian Orchard </t>
  </si>
  <si>
    <t xml:space="preserve">No. Brookfield  </t>
  </si>
  <si>
    <t>Barre</t>
  </si>
  <si>
    <t xml:space="preserve">Milford </t>
  </si>
  <si>
    <t xml:space="preserve">North Grafton </t>
  </si>
  <si>
    <t>Sturbridge</t>
  </si>
  <si>
    <t xml:space="preserve">Gardner </t>
  </si>
  <si>
    <t xml:space="preserve">Sterling </t>
  </si>
  <si>
    <t xml:space="preserve">Winchendon </t>
  </si>
  <si>
    <t>Tatnuck</t>
  </si>
  <si>
    <t>Medford</t>
  </si>
  <si>
    <t>Reading</t>
  </si>
  <si>
    <t>Malden</t>
  </si>
  <si>
    <t>Ashland</t>
  </si>
  <si>
    <t>Lowell</t>
  </si>
  <si>
    <t>Woburn</t>
  </si>
  <si>
    <t>Natick</t>
  </si>
  <si>
    <t>Marlboro</t>
  </si>
  <si>
    <t>Wilmington</t>
  </si>
  <si>
    <t>Ayer</t>
  </si>
  <si>
    <t>Westford</t>
  </si>
  <si>
    <t>Shirley</t>
  </si>
  <si>
    <t>Sudbury</t>
  </si>
  <si>
    <t>Bedford</t>
  </si>
  <si>
    <t>Tyngsboro</t>
  </si>
  <si>
    <t>Burlington</t>
  </si>
  <si>
    <t>Dracut</t>
  </si>
  <si>
    <t>Ashby</t>
  </si>
  <si>
    <t>Nabnasset</t>
  </si>
  <si>
    <t>Nonantum</t>
  </si>
  <si>
    <t>Dedham</t>
  </si>
  <si>
    <t>Canton</t>
  </si>
  <si>
    <t>Weymouth</t>
  </si>
  <si>
    <t>Foxboro</t>
  </si>
  <si>
    <t>Sharon</t>
  </si>
  <si>
    <t>Medfield</t>
  </si>
  <si>
    <t>Milton</t>
  </si>
  <si>
    <t>Cohasset</t>
  </si>
  <si>
    <t>Holbrook</t>
  </si>
  <si>
    <t>Wrentham</t>
  </si>
  <si>
    <t>Squantum</t>
  </si>
  <si>
    <t>Hough's Neck</t>
  </si>
  <si>
    <t>Mattapan</t>
  </si>
  <si>
    <t>HydePark</t>
  </si>
  <si>
    <t>Gloucester</t>
  </si>
  <si>
    <t>Haverhill</t>
  </si>
  <si>
    <t>Lynn</t>
  </si>
  <si>
    <t>Manchester</t>
  </si>
  <si>
    <t>Hamilton</t>
  </si>
  <si>
    <t>Saugus</t>
  </si>
  <si>
    <t>Middleton</t>
  </si>
  <si>
    <t>Beverly</t>
  </si>
  <si>
    <t>Berkley</t>
  </si>
  <si>
    <t>Norton</t>
  </si>
  <si>
    <t>Rehoboth</t>
  </si>
  <si>
    <t>Seekonk</t>
  </si>
  <si>
    <t xml:space="preserve">So. Attleboro </t>
  </si>
  <si>
    <t xml:space="preserve">Fall River </t>
  </si>
  <si>
    <t>Whitman</t>
  </si>
  <si>
    <t>Plymouth</t>
  </si>
  <si>
    <t>Middleboro</t>
  </si>
  <si>
    <t>Marshfield</t>
  </si>
  <si>
    <t>Abington</t>
  </si>
  <si>
    <t>Sandwich</t>
  </si>
  <si>
    <t>Norwell</t>
  </si>
  <si>
    <t>Wareham</t>
  </si>
  <si>
    <t>Hanson</t>
  </si>
  <si>
    <t xml:space="preserve">Vineyard Haven </t>
  </si>
  <si>
    <t xml:space="preserve">Kingston  </t>
  </si>
  <si>
    <t>Cherry Valley</t>
  </si>
  <si>
    <t>Worcester</t>
  </si>
  <si>
    <t>Oxford</t>
  </si>
  <si>
    <t>Raynham</t>
  </si>
  <si>
    <t>Sutton</t>
  </si>
  <si>
    <t>Methuen</t>
  </si>
  <si>
    <t>Haydenville</t>
  </si>
  <si>
    <t>Holyoke</t>
  </si>
  <si>
    <t>Dover</t>
  </si>
  <si>
    <t>E Longmeadow</t>
  </si>
  <si>
    <t>BE SURE TO TRANSMIT THE TWO PART CARDS FOR EACH TRANSMITTAL</t>
  </si>
  <si>
    <t xml:space="preserve">Somerset </t>
  </si>
  <si>
    <t xml:space="preserve">Westfield </t>
  </si>
  <si>
    <t xml:space="preserve">Spencer </t>
  </si>
  <si>
    <t>Cambridge</t>
  </si>
  <si>
    <t>Revere</t>
  </si>
  <si>
    <t>Charlestown</t>
  </si>
  <si>
    <t>Boston</t>
  </si>
  <si>
    <t>Hatfield</t>
  </si>
  <si>
    <t>Groton</t>
  </si>
  <si>
    <t>DETACHMENT OF MASSACHUSETTS  2018 MEMBERSHIP REPORT</t>
  </si>
  <si>
    <t>DETACHMENT OF MASSACHUSETTS DISTRICT TOTALS 2016-2018</t>
  </si>
  <si>
    <t xml:space="preserve">2018 PER CAPITA IS $7.00 PER MEMBER </t>
  </si>
  <si>
    <t>ALL REMAINING 2017 RENEWALS ARE ALSO $7.00 PER MEMBER</t>
  </si>
  <si>
    <t>CAPITOL HILL</t>
  </si>
  <si>
    <t>Granby</t>
  </si>
  <si>
    <t xml:space="preserve">                                               Next Target Date: 7/19/2018      105%</t>
  </si>
  <si>
    <t xml:space="preserve">2019 PER CAPITA IS $7.00 PER MEMBER </t>
  </si>
  <si>
    <t>ALL REMAINING 2018 RENEWALS ARE ALSO $7.00 PER MEMBER</t>
  </si>
  <si>
    <t>DETACHMENT OF MASSACHUSETTS DISTRICT TOTALS 2017-2019</t>
  </si>
  <si>
    <t>Scituate</t>
  </si>
  <si>
    <t>DETACHMENT OF MASSACHUSETTS  2019 MEMBERSHIP REPORT</t>
  </si>
  <si>
    <t>New Bedford</t>
  </si>
  <si>
    <t xml:space="preserve">                                               Next Target Date: 7/24/2019    105%</t>
  </si>
  <si>
    <t>S Hadley Falls</t>
  </si>
  <si>
    <t>DETACHMENT OF MASSACHUSETTS DISTRICT TOTALS 2018-2020</t>
  </si>
  <si>
    <t xml:space="preserve">2020 PER CAPITA IS $7.00 PER MEMBER </t>
  </si>
  <si>
    <t>ALL REMAINING 2019 RENEWALS ARE ALSO $7.00 PER MEMBER</t>
  </si>
  <si>
    <t>N. Attleboro</t>
  </si>
  <si>
    <t>Fairhaven</t>
  </si>
  <si>
    <t>S Boston</t>
  </si>
  <si>
    <t>Ludlow</t>
  </si>
  <si>
    <t>297 Capital Hill</t>
  </si>
  <si>
    <t>DETACHMENT OF MASSACHUSETTS  2020 MEMBERSHIP REPORT</t>
  </si>
  <si>
    <t>West Boylston</t>
  </si>
  <si>
    <t>United Forces</t>
  </si>
  <si>
    <t>Franklin</t>
  </si>
  <si>
    <t xml:space="preserve">                                               Next Target Date: 7/29/2020    105%</t>
  </si>
  <si>
    <t xml:space="preserve">2021 PER CAPITA IS $12.00 PER MEMBER </t>
  </si>
  <si>
    <t>ALL REMAINING 2020 RENEWALS ARE ALSO $12.00 PER MEMBER</t>
  </si>
  <si>
    <t>DETACHMENT OF MASSACHUSETTS  2021 MEMBERSHIP REPORT</t>
  </si>
  <si>
    <t>DETACHMENT OF MASSACHUSETTS DISTRICT TOTALS 2019-2021</t>
  </si>
  <si>
    <t>#25</t>
  </si>
  <si>
    <t>National Goal for 2021</t>
  </si>
  <si>
    <t>Quincy</t>
  </si>
  <si>
    <t xml:space="preserve">                                               Next Target Date: 7/29/2021    105%</t>
  </si>
  <si>
    <t>DETACHMENT OF MASSACHUSETTS  2022 MEMBERSHIP REPORT</t>
  </si>
  <si>
    <t xml:space="preserve">2022 PER CAPITA IS $12.00 PER MEMBER </t>
  </si>
  <si>
    <t>ALL REMAINING 2021 RENEWALS ARE ALSO $12.00 PER MEMBER</t>
  </si>
  <si>
    <t>National Goal for 2022</t>
  </si>
  <si>
    <t>DETACHMENT OF MASSACHUSETTS DISTRICT TOTALS 2020-2022</t>
  </si>
  <si>
    <t>West Springfield</t>
  </si>
  <si>
    <t>Southborough</t>
  </si>
  <si>
    <t xml:space="preserve">                                               Next Target Date: 7/28/2022       105%</t>
  </si>
  <si>
    <t>DETACHMENT OF MASSACHUSETTS DISTRICT TOTALS 2021-2023</t>
  </si>
  <si>
    <t xml:space="preserve">2023 PER CAPITA IS $12.00 PER MEMBER </t>
  </si>
  <si>
    <t>DETACHMENT OF MASSACHUSETTS  2023 MEMBERSHIP REPORT</t>
  </si>
  <si>
    <t>Paxton</t>
  </si>
  <si>
    <t>Goal</t>
  </si>
  <si>
    <t>National Goal for 2023</t>
  </si>
  <si>
    <t>Fairhaven-gone</t>
  </si>
  <si>
    <t>NEW</t>
  </si>
  <si>
    <t>MEMBERS</t>
  </si>
  <si>
    <t>Hull</t>
  </si>
  <si>
    <t>Rockland</t>
  </si>
  <si>
    <t>Mission Hill</t>
  </si>
  <si>
    <t>Brockton</t>
  </si>
  <si>
    <t>Jamaica Plain</t>
  </si>
  <si>
    <t>Clinton</t>
  </si>
  <si>
    <t>.</t>
  </si>
  <si>
    <t>Roslindale</t>
  </si>
  <si>
    <t xml:space="preserve">                                               Next Target Date: 07/26/2023       105%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</si>
</sst>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"/>
    <numFmt numFmtId="166" formatCode="[$-409]dddd\,\ mmmm\ dd\,\ yyyy"/>
    <numFmt numFmtId="167" formatCode="[$-409]h:mm:ss\ AM/PM"/>
    <numFmt numFmtId="168" formatCode="mm/dd/yy;@"/>
    <numFmt numFmtId="169" formatCode="[$-F800]dddd\,\ mmmm\ dd\,\ yyyy"/>
    <numFmt numFmtId="170" formatCode="0.000"/>
    <numFmt numFmtId="171" formatCode="0.0000"/>
    <numFmt numFmtId="172" formatCode="0.0"/>
    <numFmt numFmtId="173" formatCode="[$-409]dddd\,\ mmmm\ d\,\ yyyy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9" fontId="4" fillId="0" borderId="1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65" fontId="4" fillId="0" borderId="16" xfId="0" applyNumberFormat="1" applyFont="1" applyBorder="1" applyAlignment="1">
      <alignment horizontal="center"/>
    </xf>
    <xf numFmtId="165" fontId="0" fillId="0" borderId="10" xfId="0" applyNumberFormat="1" applyFont="1" applyBorder="1" applyAlignment="1" quotePrefix="1">
      <alignment horizontal="center"/>
    </xf>
    <xf numFmtId="0" fontId="4" fillId="0" borderId="0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9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165" fontId="0" fillId="0" borderId="2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65" fontId="0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right"/>
    </xf>
    <xf numFmtId="10" fontId="0" fillId="0" borderId="21" xfId="0" applyNumberFormat="1" applyFont="1" applyBorder="1" applyAlignment="1">
      <alignment horizontal="right"/>
    </xf>
    <xf numFmtId="10" fontId="0" fillId="0" borderId="22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2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/>
    </xf>
    <xf numFmtId="165" fontId="0" fillId="0" borderId="27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65" fontId="0" fillId="0" borderId="21" xfId="0" applyNumberFormat="1" applyFont="1" applyBorder="1" applyAlignment="1">
      <alignment horizontal="center"/>
    </xf>
    <xf numFmtId="165" fontId="0" fillId="0" borderId="14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65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10" fontId="0" fillId="0" borderId="22" xfId="0" applyNumberFormat="1" applyFont="1" applyBorder="1" applyAlignment="1">
      <alignment horizontal="right"/>
    </xf>
    <xf numFmtId="10" fontId="0" fillId="0" borderId="37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0" borderId="13" xfId="0" applyNumberFormat="1" applyFont="1" applyBorder="1" applyAlignment="1">
      <alignment horizontal="right"/>
    </xf>
    <xf numFmtId="10" fontId="4" fillId="0" borderId="26" xfId="0" applyNumberFormat="1" applyFont="1" applyBorder="1" applyAlignment="1">
      <alignment horizontal="right"/>
    </xf>
    <xf numFmtId="10" fontId="0" fillId="0" borderId="11" xfId="0" applyNumberFormat="1" applyFont="1" applyBorder="1" applyAlignment="1">
      <alignment horizontal="right"/>
    </xf>
    <xf numFmtId="0" fontId="0" fillId="0" borderId="32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10" fontId="4" fillId="0" borderId="14" xfId="0" applyNumberFormat="1" applyFont="1" applyBorder="1" applyAlignment="1">
      <alignment horizontal="right"/>
    </xf>
    <xf numFmtId="14" fontId="4" fillId="0" borderId="0" xfId="0" applyNumberFormat="1" applyFont="1" applyAlignment="1">
      <alignment horizontal="right"/>
    </xf>
    <xf numFmtId="10" fontId="0" fillId="0" borderId="14" xfId="0" applyNumberFormat="1" applyFont="1" applyBorder="1" applyAlignment="1">
      <alignment horizontal="right"/>
    </xf>
    <xf numFmtId="10" fontId="0" fillId="0" borderId="26" xfId="0" applyNumberFormat="1" applyFont="1" applyBorder="1" applyAlignment="1">
      <alignment horizontal="right"/>
    </xf>
    <xf numFmtId="10" fontId="52" fillId="0" borderId="11" xfId="0" applyNumberFormat="1" applyFont="1" applyBorder="1" applyAlignment="1">
      <alignment horizontal="right"/>
    </xf>
    <xf numFmtId="10" fontId="52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38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0" fillId="0" borderId="14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4" fillId="0" borderId="41" xfId="0" applyNumberFormat="1" applyFont="1" applyBorder="1" applyAlignment="1">
      <alignment horizontal="right"/>
    </xf>
    <xf numFmtId="14" fontId="4" fillId="0" borderId="42" xfId="0" applyNumberFormat="1" applyFont="1" applyBorder="1" applyAlignment="1">
      <alignment horizontal="right"/>
    </xf>
    <xf numFmtId="10" fontId="4" fillId="0" borderId="21" xfId="0" applyNumberFormat="1" applyFont="1" applyBorder="1" applyAlignment="1">
      <alignment horizontal="right"/>
    </xf>
    <xf numFmtId="10" fontId="0" fillId="0" borderId="13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6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center"/>
    </xf>
    <xf numFmtId="9" fontId="0" fillId="0" borderId="16" xfId="0" applyNumberFormat="1" applyFont="1" applyBorder="1" applyAlignment="1">
      <alignment horizontal="center"/>
    </xf>
    <xf numFmtId="1" fontId="0" fillId="0" borderId="26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10" fontId="0" fillId="0" borderId="21" xfId="0" applyNumberFormat="1" applyFont="1" applyBorder="1" applyAlignment="1">
      <alignment horizontal="right"/>
    </xf>
    <xf numFmtId="0" fontId="4" fillId="0" borderId="2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right"/>
    </xf>
    <xf numFmtId="0" fontId="0" fillId="0" borderId="43" xfId="0" applyNumberFormat="1" applyFont="1" applyBorder="1" applyAlignment="1">
      <alignment horizontal="center"/>
    </xf>
    <xf numFmtId="165" fontId="0" fillId="0" borderId="44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165" fontId="0" fillId="0" borderId="46" xfId="0" applyNumberFormat="1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10" fontId="0" fillId="0" borderId="48" xfId="0" applyNumberFormat="1" applyFont="1" applyBorder="1" applyAlignment="1">
      <alignment horizontal="right"/>
    </xf>
    <xf numFmtId="1" fontId="0" fillId="0" borderId="27" xfId="0" applyNumberFormat="1" applyFont="1" applyBorder="1" applyAlignment="1">
      <alignment horizontal="right"/>
    </xf>
    <xf numFmtId="0" fontId="0" fillId="0" borderId="49" xfId="0" applyNumberFormat="1" applyFont="1" applyBorder="1" applyAlignment="1">
      <alignment horizontal="center"/>
    </xf>
    <xf numFmtId="10" fontId="0" fillId="0" borderId="50" xfId="0" applyNumberFormat="1" applyFont="1" applyBorder="1" applyAlignment="1">
      <alignment horizontal="right"/>
    </xf>
    <xf numFmtId="1" fontId="0" fillId="0" borderId="51" xfId="0" applyNumberFormat="1" applyFont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165" fontId="0" fillId="0" borderId="52" xfId="0" applyNumberFormat="1" applyFont="1" applyBorder="1" applyAlignment="1">
      <alignment horizontal="center"/>
    </xf>
    <xf numFmtId="10" fontId="0" fillId="0" borderId="30" xfId="0" applyNumberFormat="1" applyFont="1" applyBorder="1" applyAlignment="1">
      <alignment horizontal="right"/>
    </xf>
    <xf numFmtId="0" fontId="0" fillId="0" borderId="53" xfId="0" applyNumberFormat="1" applyFont="1" applyBorder="1" applyAlignment="1">
      <alignment horizontal="right"/>
    </xf>
    <xf numFmtId="0" fontId="0" fillId="34" borderId="12" xfId="0" applyNumberFormat="1" applyFont="1" applyFill="1" applyBorder="1" applyAlignment="1">
      <alignment horizontal="right"/>
    </xf>
    <xf numFmtId="0" fontId="0" fillId="34" borderId="17" xfId="0" applyNumberFormat="1" applyFont="1" applyFill="1" applyBorder="1" applyAlignment="1">
      <alignment horizontal="right"/>
    </xf>
    <xf numFmtId="0" fontId="0" fillId="34" borderId="13" xfId="0" applyNumberFormat="1" applyFont="1" applyFill="1" applyBorder="1" applyAlignment="1">
      <alignment horizontal="right"/>
    </xf>
    <xf numFmtId="0" fontId="0" fillId="34" borderId="18" xfId="0" applyNumberFormat="1" applyFont="1" applyFill="1" applyBorder="1" applyAlignment="1">
      <alignment horizontal="right"/>
    </xf>
    <xf numFmtId="0" fontId="0" fillId="33" borderId="12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right"/>
    </xf>
    <xf numFmtId="0" fontId="0" fillId="33" borderId="17" xfId="0" applyNumberFormat="1" applyFont="1" applyFill="1" applyBorder="1" applyAlignment="1">
      <alignment horizontal="right"/>
    </xf>
    <xf numFmtId="0" fontId="0" fillId="33" borderId="18" xfId="0" applyNumberFormat="1" applyFont="1" applyFill="1" applyBorder="1" applyAlignment="1">
      <alignment horizontal="right"/>
    </xf>
    <xf numFmtId="165" fontId="0" fillId="0" borderId="20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165" fontId="0" fillId="0" borderId="54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9" fontId="8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/>
    </xf>
    <xf numFmtId="10" fontId="0" fillId="33" borderId="22" xfId="0" applyNumberFormat="1" applyFont="1" applyFill="1" applyBorder="1" applyAlignment="1">
      <alignment horizontal="right"/>
    </xf>
    <xf numFmtId="10" fontId="0" fillId="34" borderId="11" xfId="0" applyNumberFormat="1" applyFont="1" applyFill="1" applyBorder="1" applyAlignment="1">
      <alignment horizontal="right"/>
    </xf>
    <xf numFmtId="10" fontId="0" fillId="34" borderId="14" xfId="0" applyNumberFormat="1" applyFont="1" applyFill="1" applyBorder="1" applyAlignment="1">
      <alignment horizontal="right"/>
    </xf>
    <xf numFmtId="10" fontId="0" fillId="34" borderId="13" xfId="0" applyNumberFormat="1" applyFont="1" applyFill="1" applyBorder="1" applyAlignment="1">
      <alignment horizontal="right"/>
    </xf>
    <xf numFmtId="10" fontId="0" fillId="34" borderId="26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/>
    </xf>
    <xf numFmtId="0" fontId="0" fillId="0" borderId="55" xfId="0" applyNumberFormat="1" applyFont="1" applyBorder="1" applyAlignment="1">
      <alignment horizontal="center"/>
    </xf>
    <xf numFmtId="10" fontId="0" fillId="34" borderId="55" xfId="0" applyNumberFormat="1" applyFont="1" applyFill="1" applyBorder="1" applyAlignment="1">
      <alignment horizontal="right"/>
    </xf>
    <xf numFmtId="1" fontId="0" fillId="0" borderId="55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center"/>
    </xf>
    <xf numFmtId="0" fontId="0" fillId="0" borderId="55" xfId="0" applyNumberFormat="1" applyFont="1" applyBorder="1" applyAlignment="1">
      <alignment horizontal="right"/>
    </xf>
    <xf numFmtId="10" fontId="4" fillId="0" borderId="55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10" fontId="0" fillId="33" borderId="48" xfId="0" applyNumberFormat="1" applyFont="1" applyFill="1" applyBorder="1" applyAlignment="1">
      <alignment horizontal="right"/>
    </xf>
    <xf numFmtId="10" fontId="0" fillId="34" borderId="22" xfId="0" applyNumberFormat="1" applyFont="1" applyFill="1" applyBorder="1" applyAlignment="1">
      <alignment horizontal="right"/>
    </xf>
    <xf numFmtId="10" fontId="0" fillId="33" borderId="2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4" fillId="0" borderId="4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0" fillId="0" borderId="11" xfId="0" applyNumberFormat="1" applyFont="1" applyFill="1" applyBorder="1" applyAlignment="1">
      <alignment horizontal="right"/>
    </xf>
    <xf numFmtId="10" fontId="0" fillId="0" borderId="13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>
      <alignment horizontal="center"/>
    </xf>
    <xf numFmtId="10" fontId="0" fillId="0" borderId="26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0" fontId="0" fillId="0" borderId="3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right"/>
    </xf>
    <xf numFmtId="1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5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9" fontId="0" fillId="0" borderId="11" xfId="0" applyNumberFormat="1" applyFont="1" applyFill="1" applyBorder="1" applyAlignment="1">
      <alignment horizontal="center"/>
    </xf>
    <xf numFmtId="10" fontId="0" fillId="33" borderId="11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9" fontId="4" fillId="0" borderId="11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center"/>
    </xf>
    <xf numFmtId="10" fontId="8" fillId="0" borderId="11" xfId="0" applyNumberFormat="1" applyFont="1" applyBorder="1" applyAlignment="1">
      <alignment horizontal="right"/>
    </xf>
    <xf numFmtId="0" fontId="9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/>
    </xf>
    <xf numFmtId="0" fontId="10" fillId="0" borderId="11" xfId="0" applyNumberFormat="1" applyFont="1" applyFill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1" xfId="0" applyNumberFormat="1" applyFont="1" applyBorder="1" applyAlignment="1">
      <alignment horizontal="left"/>
    </xf>
    <xf numFmtId="10" fontId="12" fillId="0" borderId="11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56" xfId="0" applyNumberFormat="1" applyFont="1" applyBorder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4" fillId="34" borderId="0" xfId="0" applyNumberFormat="1" applyFont="1" applyFill="1" applyAlignment="1">
      <alignment horizontal="center"/>
    </xf>
    <xf numFmtId="0" fontId="4" fillId="34" borderId="16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/>
    </xf>
    <xf numFmtId="10" fontId="0" fillId="0" borderId="57" xfId="0" applyNumberFormat="1" applyFont="1" applyFill="1" applyBorder="1" applyAlignment="1">
      <alignment horizontal="right"/>
    </xf>
    <xf numFmtId="0" fontId="0" fillId="0" borderId="58" xfId="0" applyNumberFormat="1" applyFont="1" applyBorder="1" applyAlignment="1">
      <alignment horizontal="center"/>
    </xf>
    <xf numFmtId="165" fontId="0" fillId="0" borderId="49" xfId="0" applyNumberFormat="1" applyFont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4" fillId="0" borderId="59" xfId="0" applyNumberFormat="1" applyFont="1" applyBorder="1" applyAlignment="1">
      <alignment/>
    </xf>
    <xf numFmtId="0" fontId="0" fillId="0" borderId="60" xfId="0" applyNumberFormat="1" applyFont="1" applyBorder="1" applyAlignment="1">
      <alignment horizontal="center"/>
    </xf>
    <xf numFmtId="165" fontId="0" fillId="0" borderId="60" xfId="0" applyNumberFormat="1" applyFont="1" applyBorder="1" applyAlignment="1">
      <alignment/>
    </xf>
    <xf numFmtId="0" fontId="0" fillId="0" borderId="61" xfId="0" applyNumberFormat="1" applyFont="1" applyFill="1" applyBorder="1" applyAlignment="1">
      <alignment horizontal="right"/>
    </xf>
    <xf numFmtId="0" fontId="4" fillId="0" borderId="62" xfId="0" applyNumberFormat="1" applyFont="1" applyBorder="1" applyAlignment="1">
      <alignment/>
    </xf>
    <xf numFmtId="0" fontId="0" fillId="0" borderId="63" xfId="0" applyNumberFormat="1" applyFont="1" applyFill="1" applyBorder="1" applyAlignment="1">
      <alignment horizontal="right"/>
    </xf>
    <xf numFmtId="0" fontId="4" fillId="0" borderId="62" xfId="0" applyNumberFormat="1" applyFont="1" applyBorder="1" applyAlignment="1">
      <alignment horizontal="center"/>
    </xf>
    <xf numFmtId="9" fontId="0" fillId="0" borderId="63" xfId="0" applyNumberFormat="1" applyFont="1" applyFill="1" applyBorder="1" applyAlignment="1">
      <alignment horizontal="center"/>
    </xf>
    <xf numFmtId="1" fontId="0" fillId="0" borderId="63" xfId="0" applyNumberFormat="1" applyFont="1" applyFill="1" applyBorder="1" applyAlignment="1">
      <alignment horizontal="right"/>
    </xf>
    <xf numFmtId="0" fontId="4" fillId="0" borderId="62" xfId="0" applyNumberFormat="1" applyFont="1" applyBorder="1" applyAlignment="1">
      <alignment horizontal="left"/>
    </xf>
    <xf numFmtId="0" fontId="4" fillId="0" borderId="63" xfId="0" applyNumberFormat="1" applyFont="1" applyBorder="1" applyAlignment="1">
      <alignment horizontal="center"/>
    </xf>
    <xf numFmtId="10" fontId="0" fillId="0" borderId="63" xfId="0" applyNumberFormat="1" applyFont="1" applyFill="1" applyBorder="1" applyAlignment="1">
      <alignment horizontal="right"/>
    </xf>
    <xf numFmtId="0" fontId="5" fillId="0" borderId="64" xfId="0" applyNumberFormat="1" applyFont="1" applyBorder="1" applyAlignment="1">
      <alignment horizontal="left"/>
    </xf>
    <xf numFmtId="0" fontId="11" fillId="0" borderId="65" xfId="0" applyNumberFormat="1" applyFont="1" applyBorder="1" applyAlignment="1">
      <alignment horizontal="center"/>
    </xf>
    <xf numFmtId="0" fontId="5" fillId="0" borderId="65" xfId="0" applyNumberFormat="1" applyFont="1" applyBorder="1" applyAlignment="1">
      <alignment horizontal="center"/>
    </xf>
    <xf numFmtId="10" fontId="12" fillId="0" borderId="65" xfId="0" applyNumberFormat="1" applyFont="1" applyFill="1" applyBorder="1" applyAlignment="1">
      <alignment horizontal="right"/>
    </xf>
    <xf numFmtId="0" fontId="5" fillId="0" borderId="66" xfId="0" applyNumberFormat="1" applyFont="1" applyFill="1" applyBorder="1" applyAlignment="1">
      <alignment horizontal="center"/>
    </xf>
    <xf numFmtId="0" fontId="4" fillId="0" borderId="67" xfId="0" applyNumberFormat="1" applyFont="1" applyBorder="1" applyAlignment="1">
      <alignment horizontal="left"/>
    </xf>
    <xf numFmtId="0" fontId="4" fillId="0" borderId="67" xfId="0" applyNumberFormat="1" applyFont="1" applyBorder="1" applyAlignment="1">
      <alignment horizontal="center"/>
    </xf>
    <xf numFmtId="0" fontId="0" fillId="0" borderId="67" xfId="0" applyNumberFormat="1" applyFont="1" applyBorder="1" applyAlignment="1">
      <alignment horizontal="center"/>
    </xf>
    <xf numFmtId="0" fontId="0" fillId="0" borderId="67" xfId="0" applyNumberFormat="1" applyFont="1" applyFill="1" applyBorder="1" applyAlignment="1">
      <alignment horizontal="right"/>
    </xf>
    <xf numFmtId="10" fontId="0" fillId="0" borderId="67" xfId="0" applyNumberFormat="1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/>
    </xf>
    <xf numFmtId="0" fontId="4" fillId="34" borderId="11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/>
    </xf>
    <xf numFmtId="0" fontId="0" fillId="0" borderId="68" xfId="0" applyNumberFormat="1" applyFont="1" applyBorder="1" applyAlignment="1">
      <alignment horizontal="right"/>
    </xf>
    <xf numFmtId="0" fontId="0" fillId="0" borderId="69" xfId="0" applyNumberFormat="1" applyFont="1" applyBorder="1" applyAlignment="1">
      <alignment horizontal="right"/>
    </xf>
    <xf numFmtId="0" fontId="4" fillId="0" borderId="69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 horizontal="center"/>
    </xf>
    <xf numFmtId="0" fontId="4" fillId="0" borderId="7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right"/>
    </xf>
    <xf numFmtId="0" fontId="4" fillId="0" borderId="71" xfId="0" applyNumberFormat="1" applyFont="1" applyFill="1" applyBorder="1" applyAlignment="1">
      <alignment horizontal="right"/>
    </xf>
    <xf numFmtId="14" fontId="4" fillId="0" borderId="72" xfId="0" applyNumberFormat="1" applyFont="1" applyBorder="1" applyAlignment="1">
      <alignment horizontal="right"/>
    </xf>
    <xf numFmtId="0" fontId="4" fillId="0" borderId="73" xfId="0" applyNumberFormat="1" applyFont="1" applyBorder="1" applyAlignment="1">
      <alignment horizontal="center"/>
    </xf>
    <xf numFmtId="165" fontId="4" fillId="0" borderId="73" xfId="0" applyNumberFormat="1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0" fillId="0" borderId="48" xfId="0" applyNumberFormat="1" applyFont="1" applyBorder="1" applyAlignment="1">
      <alignment horizontal="center"/>
    </xf>
    <xf numFmtId="0" fontId="4" fillId="34" borderId="0" xfId="0" applyNumberFormat="1" applyFont="1" applyFill="1" applyAlignment="1">
      <alignment horizontal="right"/>
    </xf>
    <xf numFmtId="0" fontId="7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27"/>
  <sheetViews>
    <sheetView showOutlineSymbols="0" zoomScale="120" zoomScaleNormal="120" zoomScalePageLayoutView="0" workbookViewId="0" topLeftCell="A40">
      <selection activeCell="E140" sqref="E140"/>
    </sheetView>
  </sheetViews>
  <sheetFormatPr defaultColWidth="9.6640625" defaultRowHeight="15"/>
  <cols>
    <col min="1" max="1" width="6.6640625" style="14" customWidth="1"/>
    <col min="2" max="2" width="14.6640625" style="14" customWidth="1"/>
    <col min="3" max="5" width="7.6640625" style="1" customWidth="1"/>
    <col min="6" max="7" width="9.6640625" style="1" customWidth="1"/>
    <col min="8" max="8" width="11.10546875" style="1" customWidth="1"/>
    <col min="9" max="9" width="10.6640625" style="54" customWidth="1"/>
    <col min="10" max="16384" width="9.6640625" style="54" customWidth="1"/>
  </cols>
  <sheetData>
    <row r="1" ht="15.75">
      <c r="A1" s="14" t="s">
        <v>0</v>
      </c>
    </row>
    <row r="2" spans="1:8" ht="15.75">
      <c r="A2" s="18"/>
      <c r="B2" s="14" t="s">
        <v>21</v>
      </c>
      <c r="C2" s="15"/>
      <c r="D2" s="15"/>
      <c r="E2" s="15"/>
      <c r="F2" s="16"/>
      <c r="G2" s="7" t="s">
        <v>23</v>
      </c>
      <c r="H2" s="124">
        <v>43552</v>
      </c>
    </row>
    <row r="3" spans="1:8" ht="15.75">
      <c r="A3" s="18"/>
      <c r="B3" s="66" t="s">
        <v>139</v>
      </c>
      <c r="C3" s="15"/>
      <c r="D3" s="15"/>
      <c r="E3" s="15"/>
      <c r="F3" s="16"/>
      <c r="G3" s="13"/>
      <c r="H3" s="17"/>
    </row>
    <row r="4" spans="1:8" ht="15.75">
      <c r="A4" s="18"/>
      <c r="B4" s="119" t="s">
        <v>145</v>
      </c>
      <c r="C4" s="120"/>
      <c r="D4" s="120"/>
      <c r="E4" s="120"/>
      <c r="F4" s="20"/>
      <c r="G4" s="18"/>
      <c r="H4" s="21"/>
    </row>
    <row r="5" spans="1:8" ht="15.75">
      <c r="A5" s="18"/>
      <c r="B5" s="19"/>
      <c r="C5" s="19"/>
      <c r="D5" s="19"/>
      <c r="E5" s="19"/>
      <c r="F5" s="20" t="s">
        <v>22</v>
      </c>
      <c r="G5" s="18"/>
      <c r="H5" s="19" t="s">
        <v>2</v>
      </c>
    </row>
    <row r="6" spans="1:8" ht="16.5" thickBot="1">
      <c r="A6" s="18"/>
      <c r="B6" s="22" t="s">
        <v>3</v>
      </c>
      <c r="C6" s="19">
        <v>2016</v>
      </c>
      <c r="D6" s="19">
        <v>2017</v>
      </c>
      <c r="E6" s="121">
        <v>2018</v>
      </c>
      <c r="F6" s="20" t="s">
        <v>34</v>
      </c>
      <c r="G6" s="46" t="s">
        <v>1</v>
      </c>
      <c r="H6" s="48">
        <v>1</v>
      </c>
    </row>
    <row r="7" spans="1:8" ht="15.75">
      <c r="A7" s="18">
        <v>68</v>
      </c>
      <c r="B7" s="22" t="s">
        <v>37</v>
      </c>
      <c r="C7" s="37">
        <f>13+4+10+4</f>
        <v>31</v>
      </c>
      <c r="D7" s="37">
        <f>17+3+2+1+1</f>
        <v>24</v>
      </c>
      <c r="E7" s="37">
        <f>14+2+6+1+1</f>
        <v>24</v>
      </c>
      <c r="F7" s="83">
        <v>43432</v>
      </c>
      <c r="G7" s="123">
        <f aca="true" t="shared" si="0" ref="G7:G12">E7/D7</f>
        <v>1</v>
      </c>
      <c r="H7" s="47">
        <f aca="true" t="shared" si="1" ref="H7:H12">E7-D7</f>
        <v>0</v>
      </c>
    </row>
    <row r="8" spans="1:8" ht="15.75">
      <c r="A8" s="18">
        <v>125</v>
      </c>
      <c r="B8" s="22" t="s">
        <v>4</v>
      </c>
      <c r="C8" s="87">
        <f>18+17</f>
        <v>35</v>
      </c>
      <c r="D8" s="87">
        <f>11+2+17+3+4</f>
        <v>37</v>
      </c>
      <c r="E8" s="87">
        <f>7+4+26+3</f>
        <v>40</v>
      </c>
      <c r="F8" s="84">
        <v>43199</v>
      </c>
      <c r="G8" s="113">
        <f t="shared" si="0"/>
        <v>1.0810810810810811</v>
      </c>
      <c r="H8" s="34">
        <f t="shared" si="1"/>
        <v>3</v>
      </c>
    </row>
    <row r="9" spans="1:8" ht="15.75">
      <c r="A9" s="18">
        <v>152</v>
      </c>
      <c r="B9" s="22" t="s">
        <v>5</v>
      </c>
      <c r="C9" s="87">
        <f>6+7</f>
        <v>13</v>
      </c>
      <c r="D9" s="87">
        <f>5+2+4+1</f>
        <v>12</v>
      </c>
      <c r="E9" s="87">
        <f>10+2</f>
        <v>12</v>
      </c>
      <c r="F9" s="84">
        <v>43152</v>
      </c>
      <c r="G9" s="113">
        <f t="shared" si="0"/>
        <v>1</v>
      </c>
      <c r="H9" s="34">
        <f t="shared" si="1"/>
        <v>0</v>
      </c>
    </row>
    <row r="10" spans="1:8" ht="15.75">
      <c r="A10" s="18">
        <v>155</v>
      </c>
      <c r="B10" s="22" t="s">
        <v>6</v>
      </c>
      <c r="C10" s="87">
        <f>24+23+18+11+16+1+1+1+2</f>
        <v>97</v>
      </c>
      <c r="D10" s="87">
        <f>26+24+19+6+6+9+5+2+2</f>
        <v>99</v>
      </c>
      <c r="E10" s="87">
        <f>15+20+24+10+8+6+5+5+2</f>
        <v>95</v>
      </c>
      <c r="F10" s="84">
        <v>43202</v>
      </c>
      <c r="G10" s="33">
        <f t="shared" si="0"/>
        <v>0.9595959595959596</v>
      </c>
      <c r="H10" s="34">
        <f t="shared" si="1"/>
        <v>-4</v>
      </c>
    </row>
    <row r="11" spans="1:8" ht="16.5" thickBot="1">
      <c r="A11" s="18">
        <v>160</v>
      </c>
      <c r="B11" s="22" t="s">
        <v>40</v>
      </c>
      <c r="C11" s="35">
        <f>14+2+1</f>
        <v>17</v>
      </c>
      <c r="D11" s="35">
        <f>19</f>
        <v>19</v>
      </c>
      <c r="E11" s="35">
        <f>16+1+1</f>
        <v>18</v>
      </c>
      <c r="F11" s="85">
        <v>43277</v>
      </c>
      <c r="G11" s="36">
        <f t="shared" si="0"/>
        <v>0.9473684210526315</v>
      </c>
      <c r="H11" s="42">
        <f t="shared" si="1"/>
        <v>-1</v>
      </c>
    </row>
    <row r="12" spans="1:9" ht="15.75">
      <c r="A12" s="18"/>
      <c r="B12" s="22" t="s">
        <v>7</v>
      </c>
      <c r="C12" s="46">
        <f>SUM(C7:C11)</f>
        <v>193</v>
      </c>
      <c r="D12" s="46">
        <f>SUM(D7:D11)</f>
        <v>191</v>
      </c>
      <c r="E12" s="46">
        <f>SUM(E7:E11)</f>
        <v>189</v>
      </c>
      <c r="F12" s="86" t="s">
        <v>0</v>
      </c>
      <c r="G12" s="29">
        <f t="shared" si="0"/>
        <v>0.9895287958115183</v>
      </c>
      <c r="H12" s="63">
        <f t="shared" si="1"/>
        <v>-2</v>
      </c>
      <c r="I12" s="55"/>
    </row>
    <row r="13" spans="1:8" ht="15.75">
      <c r="A13" s="18"/>
      <c r="B13" s="22"/>
      <c r="C13" s="15"/>
      <c r="D13" s="15"/>
      <c r="E13" s="15"/>
      <c r="F13" s="20" t="s">
        <v>22</v>
      </c>
      <c r="G13" s="18"/>
      <c r="H13" s="19" t="s">
        <v>2</v>
      </c>
    </row>
    <row r="14" spans="1:8" ht="16.5" thickBot="1">
      <c r="A14" s="18"/>
      <c r="B14" s="22" t="s">
        <v>8</v>
      </c>
      <c r="C14" s="19">
        <v>2016</v>
      </c>
      <c r="D14" s="19">
        <v>2017</v>
      </c>
      <c r="E14" s="121">
        <v>2018</v>
      </c>
      <c r="F14" s="20" t="s">
        <v>34</v>
      </c>
      <c r="G14" s="40" t="s">
        <v>1</v>
      </c>
      <c r="H14" s="41">
        <v>1</v>
      </c>
    </row>
    <row r="15" spans="1:8" ht="15.75">
      <c r="A15" s="18">
        <v>28</v>
      </c>
      <c r="B15" s="22" t="s">
        <v>41</v>
      </c>
      <c r="C15" s="37">
        <f>12</f>
        <v>12</v>
      </c>
      <c r="D15" s="37">
        <f>10</f>
        <v>10</v>
      </c>
      <c r="E15" s="37">
        <f>10+1</f>
        <v>11</v>
      </c>
      <c r="F15" s="83">
        <v>43118</v>
      </c>
      <c r="G15" s="115">
        <f aca="true" t="shared" si="2" ref="G15:G23">E15/D15</f>
        <v>1.1</v>
      </c>
      <c r="H15" s="34">
        <f aca="true" t="shared" si="3" ref="H15:H22">E15-D15</f>
        <v>1</v>
      </c>
    </row>
    <row r="16" spans="1:8" ht="15.75">
      <c r="A16" s="18">
        <v>81</v>
      </c>
      <c r="B16" s="22" t="s">
        <v>46</v>
      </c>
      <c r="C16" s="31">
        <f>30+1</f>
        <v>31</v>
      </c>
      <c r="D16" s="31">
        <f>12+6+3</f>
        <v>21</v>
      </c>
      <c r="E16" s="31">
        <f>10+5+4</f>
        <v>19</v>
      </c>
      <c r="F16" s="84">
        <v>43256</v>
      </c>
      <c r="G16" s="33">
        <f t="shared" si="2"/>
        <v>0.9047619047619048</v>
      </c>
      <c r="H16" s="34">
        <f t="shared" si="3"/>
        <v>-2</v>
      </c>
    </row>
    <row r="17" spans="1:8" ht="15.75">
      <c r="A17" s="18">
        <v>123</v>
      </c>
      <c r="B17" s="22" t="s">
        <v>45</v>
      </c>
      <c r="C17" s="31">
        <f>37+1</f>
        <v>38</v>
      </c>
      <c r="D17" s="31">
        <f>32+6+1</f>
        <v>39</v>
      </c>
      <c r="E17" s="31">
        <f>26+8</f>
        <v>34</v>
      </c>
      <c r="F17" s="84">
        <v>43193</v>
      </c>
      <c r="G17" s="33">
        <f t="shared" si="2"/>
        <v>0.8717948717948718</v>
      </c>
      <c r="H17" s="34">
        <f t="shared" si="3"/>
        <v>-5</v>
      </c>
    </row>
    <row r="18" spans="1:8" ht="15.75">
      <c r="A18" s="18">
        <v>172</v>
      </c>
      <c r="B18" s="22" t="s">
        <v>47</v>
      </c>
      <c r="C18" s="31">
        <f>10+10+11+10+7+16+6+4+14+1</f>
        <v>89</v>
      </c>
      <c r="D18" s="31">
        <f>18+8+7+20+22+6+8+3+1</f>
        <v>93</v>
      </c>
      <c r="E18" s="31">
        <f>9+7+10+13+9+12+22+6+9+3+6+1+1</f>
        <v>108</v>
      </c>
      <c r="F18" s="84">
        <v>43538</v>
      </c>
      <c r="G18" s="113">
        <f t="shared" si="2"/>
        <v>1.1612903225806452</v>
      </c>
      <c r="H18" s="34">
        <f t="shared" si="3"/>
        <v>15</v>
      </c>
    </row>
    <row r="19" spans="1:8" ht="15.75">
      <c r="A19" s="18">
        <v>224</v>
      </c>
      <c r="B19" s="22" t="s">
        <v>24</v>
      </c>
      <c r="C19" s="31">
        <f>9+6+9+1+3+2+4+2+2+1</f>
        <v>39</v>
      </c>
      <c r="D19" s="31">
        <f>5+5+1+9+8+3+2+2+4</f>
        <v>39</v>
      </c>
      <c r="E19" s="31">
        <f>9+5+5+3+7+2+1+4+1</f>
        <v>37</v>
      </c>
      <c r="F19" s="84">
        <v>43374</v>
      </c>
      <c r="G19" s="116">
        <f t="shared" si="2"/>
        <v>0.9487179487179487</v>
      </c>
      <c r="H19" s="34">
        <f t="shared" si="3"/>
        <v>-2</v>
      </c>
    </row>
    <row r="20" spans="1:8" ht="15.75">
      <c r="A20" s="18">
        <v>236</v>
      </c>
      <c r="B20" s="22" t="s">
        <v>125</v>
      </c>
      <c r="C20" s="92">
        <f>17+1+1</f>
        <v>19</v>
      </c>
      <c r="D20" s="92">
        <v>23</v>
      </c>
      <c r="E20" s="92">
        <f>25+2+1</f>
        <v>28</v>
      </c>
      <c r="F20" s="93">
        <v>43290</v>
      </c>
      <c r="G20" s="113">
        <f>E20/D20</f>
        <v>1.2173913043478262</v>
      </c>
      <c r="H20" s="34">
        <f>E20-D20</f>
        <v>5</v>
      </c>
    </row>
    <row r="21" spans="1:8" ht="15.75">
      <c r="A21" s="18">
        <v>266</v>
      </c>
      <c r="B21" s="67" t="s">
        <v>144</v>
      </c>
      <c r="C21" s="92">
        <v>0</v>
      </c>
      <c r="D21" s="92">
        <v>0</v>
      </c>
      <c r="E21" s="92">
        <f>2+1+1+1+3+3</f>
        <v>11</v>
      </c>
      <c r="F21" s="93">
        <v>43350</v>
      </c>
      <c r="G21" s="116" t="e">
        <f>E21/D21</f>
        <v>#DIV/0!</v>
      </c>
      <c r="H21" s="34"/>
    </row>
    <row r="22" spans="1:8" ht="16.5" thickBot="1">
      <c r="A22" s="18">
        <v>344</v>
      </c>
      <c r="B22" s="67" t="s">
        <v>137</v>
      </c>
      <c r="C22" s="94">
        <f>14+5</f>
        <v>19</v>
      </c>
      <c r="D22" s="94">
        <f>19+1</f>
        <v>20</v>
      </c>
      <c r="E22" s="94">
        <f>18+4</f>
        <v>22</v>
      </c>
      <c r="F22" s="85">
        <v>43076</v>
      </c>
      <c r="G22" s="114">
        <f t="shared" si="2"/>
        <v>1.1</v>
      </c>
      <c r="H22" s="42">
        <f t="shared" si="3"/>
        <v>2</v>
      </c>
    </row>
    <row r="23" spans="1:8" ht="15.75">
      <c r="A23" s="18"/>
      <c r="B23" s="22" t="s">
        <v>7</v>
      </c>
      <c r="C23" s="46">
        <f>SUM(C15:C22)</f>
        <v>247</v>
      </c>
      <c r="D23" s="46">
        <f>SUM(D15:D22)</f>
        <v>245</v>
      </c>
      <c r="E23" s="46">
        <f>SUM(E15:E22)</f>
        <v>270</v>
      </c>
      <c r="F23" s="49"/>
      <c r="G23" s="29">
        <f t="shared" si="2"/>
        <v>1.1020408163265305</v>
      </c>
      <c r="H23" s="63">
        <f>E23-D23</f>
        <v>25</v>
      </c>
    </row>
    <row r="24" spans="1:11" ht="15.75">
      <c r="A24" s="18"/>
      <c r="B24" s="22"/>
      <c r="C24" s="15"/>
      <c r="D24" s="15"/>
      <c r="E24" s="15"/>
      <c r="F24" s="20" t="s">
        <v>22</v>
      </c>
      <c r="G24" s="18"/>
      <c r="H24" s="19" t="s">
        <v>2</v>
      </c>
      <c r="K24" s="29"/>
    </row>
    <row r="25" spans="1:11" ht="16.5" thickBot="1">
      <c r="A25" s="18"/>
      <c r="B25" s="22" t="s">
        <v>9</v>
      </c>
      <c r="C25" s="19">
        <v>2016</v>
      </c>
      <c r="D25" s="19">
        <v>2017</v>
      </c>
      <c r="E25" s="121">
        <v>2018</v>
      </c>
      <c r="F25" s="20" t="s">
        <v>34</v>
      </c>
      <c r="G25" s="59" t="s">
        <v>1</v>
      </c>
      <c r="H25" s="41">
        <v>1</v>
      </c>
      <c r="K25" s="29"/>
    </row>
    <row r="26" spans="1:254" ht="15.75">
      <c r="A26" s="18">
        <v>124</v>
      </c>
      <c r="B26" s="67" t="s">
        <v>131</v>
      </c>
      <c r="C26" s="81">
        <f>16+31+35+6+6+12+5+23+10+4+1+1+3+1+20+9</f>
        <v>183</v>
      </c>
      <c r="D26" s="81">
        <f>7+26+12+11+21+14+14+14+11+5+10+3+6+30+1+1+1</f>
        <v>187</v>
      </c>
      <c r="E26" s="81">
        <f>22+28+29+40+12+20+5+37+10</f>
        <v>203</v>
      </c>
      <c r="F26" s="82">
        <v>43251</v>
      </c>
      <c r="G26" s="113">
        <f aca="true" t="shared" si="4" ref="G26:G34">E26/D26</f>
        <v>1.085561497326203</v>
      </c>
      <c r="H26" s="34">
        <f aca="true" t="shared" si="5" ref="H26:H33">E26-D26</f>
        <v>16</v>
      </c>
      <c r="I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</row>
    <row r="27" spans="1:254" ht="15.75">
      <c r="A27" s="18">
        <v>130</v>
      </c>
      <c r="B27" s="22" t="s">
        <v>25</v>
      </c>
      <c r="C27" s="39">
        <f>2+1+2+1+1</f>
        <v>7</v>
      </c>
      <c r="D27" s="39">
        <f>4+6</f>
        <v>10</v>
      </c>
      <c r="E27" s="69">
        <f>3+3+3+1</f>
        <v>10</v>
      </c>
      <c r="F27" s="103">
        <v>43033</v>
      </c>
      <c r="G27" s="113">
        <f t="shared" si="4"/>
        <v>1</v>
      </c>
      <c r="H27" s="34">
        <f t="shared" si="5"/>
        <v>0</v>
      </c>
      <c r="I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8" ht="15.75">
      <c r="A28" s="18">
        <v>185</v>
      </c>
      <c r="B28" s="22" t="s">
        <v>48</v>
      </c>
      <c r="C28" s="23">
        <f>3</f>
        <v>3</v>
      </c>
      <c r="D28" s="23">
        <f>2+3+3+1+4+1+1+9+1</f>
        <v>25</v>
      </c>
      <c r="E28" s="69">
        <f>14+1+5+2+4+2+1</f>
        <v>29</v>
      </c>
      <c r="F28" s="80">
        <v>43402</v>
      </c>
      <c r="G28" s="113">
        <f t="shared" si="4"/>
        <v>1.16</v>
      </c>
      <c r="H28" s="34">
        <f t="shared" si="5"/>
        <v>4</v>
      </c>
    </row>
    <row r="29" spans="1:8" ht="15.75">
      <c r="A29" s="18">
        <v>275</v>
      </c>
      <c r="B29" s="22" t="s">
        <v>49</v>
      </c>
      <c r="C29" s="23">
        <f>12+45+40</f>
        <v>97</v>
      </c>
      <c r="D29" s="23">
        <f>9+3+11+3+4+2+3+2+4+2+4+3+4+50</f>
        <v>104</v>
      </c>
      <c r="E29" s="69">
        <f>3+5+26+11+36+3+4+22</f>
        <v>110</v>
      </c>
      <c r="F29" s="80">
        <v>43214</v>
      </c>
      <c r="G29" s="113">
        <f t="shared" si="4"/>
        <v>1.0576923076923077</v>
      </c>
      <c r="H29" s="34">
        <f t="shared" si="5"/>
        <v>6</v>
      </c>
    </row>
    <row r="30" spans="1:8" ht="15.75">
      <c r="A30" s="18">
        <v>277</v>
      </c>
      <c r="B30" s="22" t="s">
        <v>50</v>
      </c>
      <c r="C30" s="23">
        <f>8+4+8+5+1+2+1+3+3</f>
        <v>35</v>
      </c>
      <c r="D30" s="23">
        <f>4+4+5+5+5+3+2+1</f>
        <v>29</v>
      </c>
      <c r="E30" s="69">
        <f>5+4+1+3+2+1+4+1</f>
        <v>21</v>
      </c>
      <c r="F30" s="80">
        <v>43245</v>
      </c>
      <c r="G30" s="33">
        <f t="shared" si="4"/>
        <v>0.7241379310344828</v>
      </c>
      <c r="H30" s="34">
        <f t="shared" si="5"/>
        <v>-8</v>
      </c>
    </row>
    <row r="31" spans="1:8" ht="15.75">
      <c r="A31" s="18">
        <v>293</v>
      </c>
      <c r="B31" s="67" t="s">
        <v>128</v>
      </c>
      <c r="C31" s="23"/>
      <c r="D31" s="23">
        <f>5+1</f>
        <v>6</v>
      </c>
      <c r="E31" s="69">
        <f>7+1</f>
        <v>8</v>
      </c>
      <c r="F31" s="80">
        <v>43216</v>
      </c>
      <c r="G31" s="113">
        <f t="shared" si="4"/>
        <v>1.3333333333333333</v>
      </c>
      <c r="H31" s="34">
        <f t="shared" si="5"/>
        <v>2</v>
      </c>
    </row>
    <row r="32" spans="1:8" ht="15.75">
      <c r="A32" s="18">
        <v>325</v>
      </c>
      <c r="B32" s="22" t="s">
        <v>126</v>
      </c>
      <c r="C32" s="23">
        <v>44</v>
      </c>
      <c r="D32" s="23">
        <f>32+10</f>
        <v>42</v>
      </c>
      <c r="E32" s="69">
        <f>41+3</f>
        <v>44</v>
      </c>
      <c r="F32" s="80">
        <v>43166</v>
      </c>
      <c r="G32" s="113">
        <f t="shared" si="4"/>
        <v>1.0476190476190477</v>
      </c>
      <c r="H32" s="34">
        <f t="shared" si="5"/>
        <v>2</v>
      </c>
    </row>
    <row r="33" spans="1:8" ht="16.5" thickBot="1">
      <c r="A33" s="18">
        <v>338</v>
      </c>
      <c r="B33" s="22" t="s">
        <v>26</v>
      </c>
      <c r="C33" s="96">
        <f>4+3+1+6+6+3</f>
        <v>23</v>
      </c>
      <c r="D33" s="96">
        <f>6+4+4+1+4+1</f>
        <v>20</v>
      </c>
      <c r="E33" s="52">
        <f>6+1+4+1+4+2+4</f>
        <v>22</v>
      </c>
      <c r="F33" s="104">
        <v>43199</v>
      </c>
      <c r="G33" s="114">
        <f t="shared" si="4"/>
        <v>1.1</v>
      </c>
      <c r="H33" s="42">
        <f t="shared" si="5"/>
        <v>2</v>
      </c>
    </row>
    <row r="34" spans="1:8" s="56" customFormat="1" ht="15.75">
      <c r="A34" s="18"/>
      <c r="B34" s="22" t="s">
        <v>7</v>
      </c>
      <c r="C34" s="46">
        <f>SUM(C26:C33)</f>
        <v>392</v>
      </c>
      <c r="D34" s="46">
        <f>SUM(D26:D33)</f>
        <v>423</v>
      </c>
      <c r="E34" s="46">
        <f>SUM(E26:E33)</f>
        <v>447</v>
      </c>
      <c r="F34" s="49"/>
      <c r="G34" s="29">
        <f t="shared" si="4"/>
        <v>1.0567375886524824</v>
      </c>
      <c r="H34" s="63">
        <f>E34-D34</f>
        <v>24</v>
      </c>
    </row>
    <row r="35" spans="1:8" ht="15.75">
      <c r="A35" s="18"/>
      <c r="B35" s="19"/>
      <c r="C35" s="15"/>
      <c r="D35" s="15"/>
      <c r="E35" s="15"/>
      <c r="F35" s="25"/>
      <c r="G35" s="26"/>
      <c r="H35" s="13"/>
    </row>
    <row r="36" spans="1:8" ht="15.75">
      <c r="A36" s="18"/>
      <c r="B36" s="19"/>
      <c r="C36" s="15"/>
      <c r="D36" s="15"/>
      <c r="E36" s="15"/>
      <c r="F36" s="20" t="s">
        <v>22</v>
      </c>
      <c r="G36" s="18"/>
      <c r="H36" s="19" t="s">
        <v>2</v>
      </c>
    </row>
    <row r="37" spans="1:8" ht="16.5" thickBot="1">
      <c r="A37" s="18"/>
      <c r="B37" s="22" t="s">
        <v>10</v>
      </c>
      <c r="C37" s="19">
        <v>2016</v>
      </c>
      <c r="D37" s="19">
        <v>2017</v>
      </c>
      <c r="E37" s="121">
        <v>2018</v>
      </c>
      <c r="F37" s="20" t="s">
        <v>34</v>
      </c>
      <c r="G37" s="40" t="s">
        <v>1</v>
      </c>
      <c r="H37" s="41">
        <v>1</v>
      </c>
    </row>
    <row r="38" spans="1:8" ht="15.75">
      <c r="A38" s="18">
        <v>2</v>
      </c>
      <c r="B38" s="22" t="s">
        <v>52</v>
      </c>
      <c r="C38" s="50">
        <f>1+22</f>
        <v>23</v>
      </c>
      <c r="D38" s="50">
        <f>22</f>
        <v>22</v>
      </c>
      <c r="E38" s="50">
        <f>20+2</f>
        <v>22</v>
      </c>
      <c r="F38" s="51">
        <v>43024</v>
      </c>
      <c r="G38" s="113">
        <f aca="true" t="shared" si="6" ref="G38:G59">E38/D38</f>
        <v>1</v>
      </c>
      <c r="H38" s="34">
        <f aca="true" t="shared" si="7" ref="H38:H58">E38-D38</f>
        <v>0</v>
      </c>
    </row>
    <row r="39" spans="1:8" ht="15.75">
      <c r="A39" s="18">
        <v>41</v>
      </c>
      <c r="B39" s="22" t="s">
        <v>51</v>
      </c>
      <c r="C39" s="23">
        <f>27+3</f>
        <v>30</v>
      </c>
      <c r="D39" s="23">
        <f>23+1</f>
        <v>24</v>
      </c>
      <c r="E39" s="23">
        <f>25+8</f>
        <v>33</v>
      </c>
      <c r="F39" s="24">
        <v>43116</v>
      </c>
      <c r="G39" s="113">
        <f t="shared" si="6"/>
        <v>1.375</v>
      </c>
      <c r="H39" s="34">
        <f t="shared" si="7"/>
        <v>9</v>
      </c>
    </row>
    <row r="40" spans="1:8" ht="15.75">
      <c r="A40" s="18">
        <v>58</v>
      </c>
      <c r="B40" s="22" t="s">
        <v>121</v>
      </c>
      <c r="C40" s="23">
        <f>15+7+1+1+4+2+1+1</f>
        <v>32</v>
      </c>
      <c r="D40" s="23">
        <f>10+2+6+4+1+3+1+2</f>
        <v>29</v>
      </c>
      <c r="E40" s="23">
        <f>8+10+4+2+2+3</f>
        <v>29</v>
      </c>
      <c r="F40" s="24">
        <v>43202</v>
      </c>
      <c r="G40" s="113">
        <f t="shared" si="6"/>
        <v>1</v>
      </c>
      <c r="H40" s="34">
        <f t="shared" si="7"/>
        <v>0</v>
      </c>
    </row>
    <row r="41" spans="1:8" ht="15.75">
      <c r="A41" s="18">
        <v>59</v>
      </c>
      <c r="B41" s="22" t="s">
        <v>53</v>
      </c>
      <c r="C41" s="23">
        <f>1+6+2+2+1+1</f>
        <v>13</v>
      </c>
      <c r="D41" s="23">
        <f>2+3+3+1+1+1+1</f>
        <v>12</v>
      </c>
      <c r="E41" s="23">
        <f>3+2+1+1+1+1+1+1</f>
        <v>11</v>
      </c>
      <c r="F41" s="24">
        <v>43236</v>
      </c>
      <c r="G41" s="33">
        <f t="shared" si="6"/>
        <v>0.9166666666666666</v>
      </c>
      <c r="H41" s="34">
        <f t="shared" si="7"/>
        <v>-1</v>
      </c>
    </row>
    <row r="42" spans="1:8" ht="15.75">
      <c r="A42" s="18">
        <v>92</v>
      </c>
      <c r="B42" s="22" t="s">
        <v>54</v>
      </c>
      <c r="C42" s="23">
        <f>10+13+9+4+1</f>
        <v>37</v>
      </c>
      <c r="D42" s="23">
        <f>5+8+6+8+4+1+1</f>
        <v>33</v>
      </c>
      <c r="E42" s="23">
        <f>15+6+6+3</f>
        <v>30</v>
      </c>
      <c r="F42" s="24">
        <v>43216</v>
      </c>
      <c r="G42" s="33">
        <f t="shared" si="6"/>
        <v>0.9090909090909091</v>
      </c>
      <c r="H42" s="34">
        <f t="shared" si="7"/>
        <v>-3</v>
      </c>
    </row>
    <row r="43" spans="1:8" ht="15.75">
      <c r="A43" s="18">
        <v>102</v>
      </c>
      <c r="B43" s="22" t="s">
        <v>42</v>
      </c>
      <c r="C43" s="23">
        <f>11+8+3+11+8+5+16+7+7+5+4+1+1+1+1+1</f>
        <v>90</v>
      </c>
      <c r="D43" s="23">
        <f>3+4+4+14+12+9+15+3+8+5+1+3+1+2+2+1+1+1+1+1</f>
        <v>91</v>
      </c>
      <c r="E43" s="23">
        <f>3+4+14+14+10+7+13+10+4+5+3+5+10+1+11+4+1</f>
        <v>119</v>
      </c>
      <c r="F43" s="24">
        <v>43573</v>
      </c>
      <c r="G43" s="113">
        <f t="shared" si="6"/>
        <v>1.3076923076923077</v>
      </c>
      <c r="H43" s="34">
        <f t="shared" si="7"/>
        <v>28</v>
      </c>
    </row>
    <row r="44" spans="1:8" ht="15.75">
      <c r="A44" s="18">
        <v>109</v>
      </c>
      <c r="B44" s="22" t="s">
        <v>55</v>
      </c>
      <c r="C44" s="23">
        <f>20</f>
        <v>20</v>
      </c>
      <c r="D44" s="23">
        <f>21</f>
        <v>21</v>
      </c>
      <c r="E44" s="23">
        <f>27</f>
        <v>27</v>
      </c>
      <c r="F44" s="24">
        <v>43181</v>
      </c>
      <c r="G44" s="113">
        <f t="shared" si="6"/>
        <v>1.2857142857142858</v>
      </c>
      <c r="H44" s="34">
        <f t="shared" si="7"/>
        <v>6</v>
      </c>
    </row>
    <row r="45" spans="1:8" ht="15.75">
      <c r="A45" s="18">
        <v>129</v>
      </c>
      <c r="B45" s="22" t="s">
        <v>56</v>
      </c>
      <c r="C45" s="23">
        <f>6+5+3+2+4+3+1+5+3+2+1</f>
        <v>35</v>
      </c>
      <c r="D45" s="23">
        <f>3+4+2+6+3+4+1+3+2+1+2+2+6+1+1</f>
        <v>41</v>
      </c>
      <c r="E45" s="23">
        <f>10+2+8+1+3+2+2+3+1+2+4+3+2+1</f>
        <v>44</v>
      </c>
      <c r="F45" s="24">
        <v>43157</v>
      </c>
      <c r="G45" s="113">
        <f t="shared" si="6"/>
        <v>1.0731707317073171</v>
      </c>
      <c r="H45" s="34">
        <f t="shared" si="7"/>
        <v>3</v>
      </c>
    </row>
    <row r="46" spans="1:8" ht="15.75">
      <c r="A46" s="18">
        <v>138</v>
      </c>
      <c r="B46" s="67" t="s">
        <v>132</v>
      </c>
      <c r="C46" s="23">
        <f>14</f>
        <v>14</v>
      </c>
      <c r="D46" s="23">
        <f>19+4</f>
        <v>23</v>
      </c>
      <c r="E46" s="23">
        <f>22</f>
        <v>22</v>
      </c>
      <c r="F46" s="24">
        <v>43116</v>
      </c>
      <c r="G46" s="33">
        <f t="shared" si="6"/>
        <v>0.9565217391304348</v>
      </c>
      <c r="H46" s="34">
        <f t="shared" si="7"/>
        <v>-1</v>
      </c>
    </row>
    <row r="47" spans="1:8" ht="15.75">
      <c r="A47" s="18">
        <v>184</v>
      </c>
      <c r="B47" s="22" t="s">
        <v>36</v>
      </c>
      <c r="C47" s="23">
        <f>12+7+1</f>
        <v>20</v>
      </c>
      <c r="D47" s="23">
        <f>11+9+5+1+1</f>
        <v>27</v>
      </c>
      <c r="E47" s="23">
        <f>16+8+4</f>
        <v>28</v>
      </c>
      <c r="F47" s="24">
        <v>43199</v>
      </c>
      <c r="G47" s="113">
        <f t="shared" si="6"/>
        <v>1.037037037037037</v>
      </c>
      <c r="H47" s="34">
        <f t="shared" si="7"/>
        <v>1</v>
      </c>
    </row>
    <row r="48" spans="1:8" ht="15.75">
      <c r="A48" s="18">
        <v>189</v>
      </c>
      <c r="B48" s="22" t="s">
        <v>57</v>
      </c>
      <c r="C48" s="23">
        <f>10+9+1</f>
        <v>20</v>
      </c>
      <c r="D48" s="23">
        <f>7+3+1+2+3+5+1</f>
        <v>22</v>
      </c>
      <c r="E48" s="23">
        <f>7+2+2+3+3+5</f>
        <v>22</v>
      </c>
      <c r="F48" s="24">
        <v>43243</v>
      </c>
      <c r="G48" s="113">
        <f t="shared" si="6"/>
        <v>1</v>
      </c>
      <c r="H48" s="34">
        <f t="shared" si="7"/>
        <v>0</v>
      </c>
    </row>
    <row r="49" spans="1:254" ht="15.75">
      <c r="A49" s="18">
        <v>193</v>
      </c>
      <c r="B49" s="22" t="s">
        <v>58</v>
      </c>
      <c r="C49" s="23">
        <f>51+26+57+13+14+5+27+11+4+3+4+9+4+5+1</f>
        <v>234</v>
      </c>
      <c r="D49" s="23">
        <f>20+17+14+11+20+14+7+15+9+15+21+9+14+11+10+13+11+6+5+5+3+1+1+1+2+1</f>
        <v>256</v>
      </c>
      <c r="E49" s="23">
        <f>21+29+41+35+24+13+1+20+10+2+1</f>
        <v>197</v>
      </c>
      <c r="F49" s="24">
        <v>43552</v>
      </c>
      <c r="G49" s="33">
        <f t="shared" si="6"/>
        <v>0.76953125</v>
      </c>
      <c r="H49" s="34">
        <f t="shared" si="7"/>
        <v>-59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</row>
    <row r="50" spans="1:9" ht="15.75">
      <c r="A50" s="18">
        <v>234</v>
      </c>
      <c r="B50" s="22" t="s">
        <v>27</v>
      </c>
      <c r="C50" s="23">
        <f>18+15+10+15+1+5</f>
        <v>64</v>
      </c>
      <c r="D50" s="23">
        <f>13+9+14+20+8+1+5+1</f>
        <v>71</v>
      </c>
      <c r="E50" s="23">
        <f>11+1+20+17+9+3+5+1+2+1</f>
        <v>70</v>
      </c>
      <c r="F50" s="24">
        <v>43350</v>
      </c>
      <c r="G50" s="33">
        <f t="shared" si="6"/>
        <v>0.9859154929577465</v>
      </c>
      <c r="H50" s="34">
        <f t="shared" si="7"/>
        <v>-1</v>
      </c>
      <c r="I50" s="30"/>
    </row>
    <row r="51" spans="1:8" ht="15.75">
      <c r="A51" s="18">
        <v>244</v>
      </c>
      <c r="B51" s="22" t="s">
        <v>43</v>
      </c>
      <c r="C51" s="23">
        <f>16+24+8+6+4</f>
        <v>58</v>
      </c>
      <c r="D51" s="23">
        <f>4+15+10+8+8+6+2</f>
        <v>53</v>
      </c>
      <c r="E51" s="23">
        <f>24+11+3+1+6+6+9+1</f>
        <v>61</v>
      </c>
      <c r="F51" s="24">
        <v>43397</v>
      </c>
      <c r="G51" s="127">
        <f t="shared" si="6"/>
        <v>1.150943396226415</v>
      </c>
      <c r="H51" s="34">
        <f t="shared" si="7"/>
        <v>8</v>
      </c>
    </row>
    <row r="52" spans="1:8" ht="15.75">
      <c r="A52" s="18">
        <v>279</v>
      </c>
      <c r="B52" s="22" t="s">
        <v>39</v>
      </c>
      <c r="C52" s="23">
        <f>7+8+13+6+3+2+4+1</f>
        <v>44</v>
      </c>
      <c r="D52" s="23">
        <f>6+3+9+3+8+3+1+5+3+1</f>
        <v>42</v>
      </c>
      <c r="E52" s="23">
        <f>9+7+8+8+4+2</f>
        <v>38</v>
      </c>
      <c r="F52" s="24">
        <v>43199</v>
      </c>
      <c r="G52" s="33">
        <f t="shared" si="6"/>
        <v>0.9047619047619048</v>
      </c>
      <c r="H52" s="34">
        <f t="shared" si="7"/>
        <v>-4</v>
      </c>
    </row>
    <row r="53" spans="1:8" ht="15.75">
      <c r="A53" s="18">
        <v>288</v>
      </c>
      <c r="B53" s="22" t="s">
        <v>59</v>
      </c>
      <c r="C53" s="23">
        <f>16</f>
        <v>16</v>
      </c>
      <c r="D53" s="23">
        <f>12+1</f>
        <v>13</v>
      </c>
      <c r="E53" s="23">
        <f>13+5</f>
        <v>18</v>
      </c>
      <c r="F53" s="24">
        <v>43068</v>
      </c>
      <c r="G53" s="113">
        <f t="shared" si="6"/>
        <v>1.3846153846153846</v>
      </c>
      <c r="H53" s="34">
        <f t="shared" si="7"/>
        <v>5</v>
      </c>
    </row>
    <row r="54" spans="1:8" ht="15.75">
      <c r="A54" s="18">
        <v>373</v>
      </c>
      <c r="B54" s="22" t="s">
        <v>28</v>
      </c>
      <c r="C54" s="23">
        <f>27+3+8+5+6+2+1</f>
        <v>52</v>
      </c>
      <c r="D54" s="23">
        <f>15+14+9+7+4+3+3+3+1</f>
        <v>59</v>
      </c>
      <c r="E54" s="23">
        <f>16+13+14+4+8+3+3+3</f>
        <v>64</v>
      </c>
      <c r="F54" s="24">
        <v>43243</v>
      </c>
      <c r="G54" s="113">
        <f t="shared" si="6"/>
        <v>1.0847457627118644</v>
      </c>
      <c r="H54" s="34">
        <f t="shared" si="7"/>
        <v>5</v>
      </c>
    </row>
    <row r="55" spans="1:8" ht="15.75">
      <c r="A55" s="18">
        <v>414</v>
      </c>
      <c r="B55" s="22" t="s">
        <v>123</v>
      </c>
      <c r="C55" s="23">
        <f>34+5+2+1+1+1+1+2</f>
        <v>47</v>
      </c>
      <c r="D55" s="23">
        <f>48+1+3+1+1+2+2+1+1</f>
        <v>60</v>
      </c>
      <c r="E55" s="23">
        <f>61+4+2+1+3+3+2+1</f>
        <v>77</v>
      </c>
      <c r="F55" s="24">
        <v>43395</v>
      </c>
      <c r="G55" s="113">
        <f t="shared" si="6"/>
        <v>1.2833333333333334</v>
      </c>
      <c r="H55" s="34">
        <f t="shared" si="7"/>
        <v>17</v>
      </c>
    </row>
    <row r="56" spans="1:8" ht="15.75">
      <c r="A56" s="18">
        <v>429</v>
      </c>
      <c r="B56" s="22" t="s">
        <v>11</v>
      </c>
      <c r="C56" s="23">
        <f>3+9+3+3+2+1</f>
        <v>21</v>
      </c>
      <c r="D56" s="23">
        <f>1+2+1+10+5+2</f>
        <v>21</v>
      </c>
      <c r="E56" s="23">
        <f>1+1+1+4+7+3</f>
        <v>17</v>
      </c>
      <c r="F56" s="45">
        <v>43152</v>
      </c>
      <c r="G56" s="33">
        <f t="shared" si="6"/>
        <v>0.8095238095238095</v>
      </c>
      <c r="H56" s="34">
        <f t="shared" si="7"/>
        <v>-4</v>
      </c>
    </row>
    <row r="57" spans="1:8" ht="15.75">
      <c r="A57" s="18">
        <v>435</v>
      </c>
      <c r="B57" s="22" t="s">
        <v>120</v>
      </c>
      <c r="C57" s="23">
        <f>17+2+9+10+7+5+6+12+5+3+3</f>
        <v>79</v>
      </c>
      <c r="D57" s="23">
        <f>19+5+13+4+4+12+9+4+4+1+2</f>
        <v>77</v>
      </c>
      <c r="E57" s="23">
        <f>13+9+7+10+7+9+13+8+2+2+1</f>
        <v>81</v>
      </c>
      <c r="F57" s="45">
        <v>43327</v>
      </c>
      <c r="G57" s="113">
        <f t="shared" si="6"/>
        <v>1.051948051948052</v>
      </c>
      <c r="H57" s="34">
        <f t="shared" si="7"/>
        <v>4</v>
      </c>
    </row>
    <row r="58" spans="1:8" ht="16.5" thickBot="1">
      <c r="A58" s="18">
        <v>443</v>
      </c>
      <c r="B58" s="22" t="s">
        <v>119</v>
      </c>
      <c r="C58" s="52">
        <f>66+19+12</f>
        <v>97</v>
      </c>
      <c r="D58" s="52">
        <f>39+36+22</f>
        <v>97</v>
      </c>
      <c r="E58" s="52">
        <f>60+21+1</f>
        <v>82</v>
      </c>
      <c r="F58" s="53">
        <v>43160</v>
      </c>
      <c r="G58" s="36">
        <f t="shared" si="6"/>
        <v>0.845360824742268</v>
      </c>
      <c r="H58" s="42">
        <f t="shared" si="7"/>
        <v>-15</v>
      </c>
    </row>
    <row r="59" spans="1:8" s="56" customFormat="1" ht="15.75">
      <c r="A59" s="18"/>
      <c r="B59" s="22" t="s">
        <v>7</v>
      </c>
      <c r="C59" s="46">
        <f>SUM(C38:C58)</f>
        <v>1046</v>
      </c>
      <c r="D59" s="46">
        <f>SUM(D38:D58)</f>
        <v>1094</v>
      </c>
      <c r="E59" s="46">
        <f>SUM(E38:E58)</f>
        <v>1092</v>
      </c>
      <c r="F59" s="49"/>
      <c r="G59" s="29">
        <f t="shared" si="6"/>
        <v>0.9981718464351006</v>
      </c>
      <c r="H59" s="63">
        <f>E59-D59</f>
        <v>-2</v>
      </c>
    </row>
    <row r="60" spans="1:254" ht="15.75">
      <c r="A60" s="18"/>
      <c r="B60" s="19"/>
      <c r="C60" s="15"/>
      <c r="D60" s="15"/>
      <c r="E60" s="15"/>
      <c r="F60" s="25" t="s">
        <v>0</v>
      </c>
      <c r="G60" s="26"/>
      <c r="H60" s="13"/>
      <c r="I60" s="28"/>
      <c r="J60" s="29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</row>
    <row r="61" spans="1:8" ht="15.75">
      <c r="A61" s="18"/>
      <c r="B61" s="19"/>
      <c r="C61" s="15"/>
      <c r="D61" s="15"/>
      <c r="E61" s="15"/>
      <c r="F61" s="20" t="s">
        <v>22</v>
      </c>
      <c r="G61" s="18"/>
      <c r="H61" s="19" t="s">
        <v>2</v>
      </c>
    </row>
    <row r="62" spans="1:8" ht="16.5" thickBot="1">
      <c r="A62" s="18"/>
      <c r="B62" s="22" t="s">
        <v>12</v>
      </c>
      <c r="C62" s="40">
        <v>2016</v>
      </c>
      <c r="D62" s="40">
        <v>2017</v>
      </c>
      <c r="E62" s="122">
        <v>2018</v>
      </c>
      <c r="F62" s="20" t="s">
        <v>34</v>
      </c>
      <c r="G62" s="40" t="s">
        <v>1</v>
      </c>
      <c r="H62" s="41">
        <v>1</v>
      </c>
    </row>
    <row r="63" spans="1:8" ht="15.75">
      <c r="A63" s="18">
        <v>19</v>
      </c>
      <c r="B63" s="22" t="s">
        <v>13</v>
      </c>
      <c r="C63" s="39">
        <f>33+26</f>
        <v>59</v>
      </c>
      <c r="D63" s="39">
        <f>36+20</f>
        <v>56</v>
      </c>
      <c r="E63" s="39">
        <f>29+21+1</f>
        <v>51</v>
      </c>
      <c r="F63" s="51">
        <v>43202</v>
      </c>
      <c r="G63" s="33">
        <f aca="true" t="shared" si="8" ref="G63:G90">E63/D63</f>
        <v>0.9107142857142857</v>
      </c>
      <c r="H63" s="34">
        <f aca="true" t="shared" si="9" ref="H63:H89">E63-D63</f>
        <v>-5</v>
      </c>
    </row>
    <row r="64" spans="1:8" ht="15.75">
      <c r="A64" s="18">
        <v>39</v>
      </c>
      <c r="B64" s="22" t="s">
        <v>14</v>
      </c>
      <c r="C64" s="23">
        <f>86</f>
        <v>86</v>
      </c>
      <c r="D64" s="23">
        <f>84</f>
        <v>84</v>
      </c>
      <c r="E64" s="23">
        <f>66+5</f>
        <v>71</v>
      </c>
      <c r="F64" s="24">
        <v>43168</v>
      </c>
      <c r="G64" s="33">
        <f t="shared" si="8"/>
        <v>0.8452380952380952</v>
      </c>
      <c r="H64" s="34">
        <f t="shared" si="9"/>
        <v>-13</v>
      </c>
    </row>
    <row r="65" spans="1:8" ht="15.75">
      <c r="A65" s="18">
        <v>45</v>
      </c>
      <c r="B65" s="22" t="s">
        <v>60</v>
      </c>
      <c r="C65" s="23">
        <f>44+62+25+10+1+1</f>
        <v>143</v>
      </c>
      <c r="D65" s="23">
        <f>38+16+62+6+7+2+2+2+2+1</f>
        <v>138</v>
      </c>
      <c r="E65" s="23">
        <f>18+17+5+6+25+35+6+7+5+3+2+1</f>
        <v>130</v>
      </c>
      <c r="F65" s="24">
        <v>43332</v>
      </c>
      <c r="G65" s="33">
        <f t="shared" si="8"/>
        <v>0.9420289855072463</v>
      </c>
      <c r="H65" s="34">
        <f t="shared" si="9"/>
        <v>-8</v>
      </c>
    </row>
    <row r="66" spans="1:8" ht="15.75">
      <c r="A66" s="18">
        <v>55</v>
      </c>
      <c r="B66" s="67" t="s">
        <v>138</v>
      </c>
      <c r="C66" s="23"/>
      <c r="D66" s="23">
        <f>5+4+1</f>
        <v>10</v>
      </c>
      <c r="E66" s="23">
        <f>2+3+1+3</f>
        <v>9</v>
      </c>
      <c r="F66" s="24">
        <v>43059</v>
      </c>
      <c r="G66" s="33">
        <f t="shared" si="8"/>
        <v>0.9</v>
      </c>
      <c r="H66" s="34">
        <f t="shared" si="9"/>
        <v>-1</v>
      </c>
    </row>
    <row r="67" spans="1:8" ht="15.75">
      <c r="A67" s="18">
        <v>62</v>
      </c>
      <c r="B67" s="22" t="s">
        <v>61</v>
      </c>
      <c r="C67" s="23">
        <f>14+32+22</f>
        <v>68</v>
      </c>
      <c r="D67" s="23">
        <f>13+15+14+18</f>
        <v>60</v>
      </c>
      <c r="E67" s="23">
        <f>22+24+18+1+16</f>
        <v>81</v>
      </c>
      <c r="F67" s="24">
        <v>43229</v>
      </c>
      <c r="G67" s="113">
        <f t="shared" si="8"/>
        <v>1.35</v>
      </c>
      <c r="H67" s="34">
        <f t="shared" si="9"/>
        <v>21</v>
      </c>
    </row>
    <row r="68" spans="1:8" ht="15.75">
      <c r="A68" s="18">
        <v>69</v>
      </c>
      <c r="B68" s="22" t="s">
        <v>62</v>
      </c>
      <c r="C68" s="23">
        <f>15+27+13+6+9+2</f>
        <v>72</v>
      </c>
      <c r="D68" s="23">
        <f>3+7+11+30+7+4+10</f>
        <v>72</v>
      </c>
      <c r="E68" s="23">
        <f>10+13+5+8+3</f>
        <v>39</v>
      </c>
      <c r="F68" s="24">
        <v>43283</v>
      </c>
      <c r="G68" s="33">
        <f t="shared" si="8"/>
        <v>0.5416666666666666</v>
      </c>
      <c r="H68" s="34">
        <f t="shared" si="9"/>
        <v>-33</v>
      </c>
    </row>
    <row r="69" spans="1:8" ht="15.75">
      <c r="A69" s="18">
        <v>77</v>
      </c>
      <c r="B69" s="22" t="s">
        <v>63</v>
      </c>
      <c r="C69" s="23">
        <f>4+6+6+10+9+2</f>
        <v>37</v>
      </c>
      <c r="D69" s="23">
        <f>5+5+4+8+4+1</f>
        <v>27</v>
      </c>
      <c r="E69" s="23">
        <f>5+7+5+4+4+1</f>
        <v>26</v>
      </c>
      <c r="F69" s="24">
        <v>43431</v>
      </c>
      <c r="G69" s="33">
        <f t="shared" si="8"/>
        <v>0.9629629629629629</v>
      </c>
      <c r="H69" s="34">
        <f t="shared" si="9"/>
        <v>-1</v>
      </c>
    </row>
    <row r="70" spans="1:8" ht="15.75">
      <c r="A70" s="18">
        <v>87</v>
      </c>
      <c r="B70" s="22" t="s">
        <v>64</v>
      </c>
      <c r="C70" s="23">
        <f>57</f>
        <v>57</v>
      </c>
      <c r="D70" s="23">
        <f>53</f>
        <v>53</v>
      </c>
      <c r="E70" s="23">
        <f>34</f>
        <v>34</v>
      </c>
      <c r="F70" s="24">
        <v>43068</v>
      </c>
      <c r="G70" s="33">
        <f t="shared" si="8"/>
        <v>0.6415094339622641</v>
      </c>
      <c r="H70" s="34">
        <f t="shared" si="9"/>
        <v>-19</v>
      </c>
    </row>
    <row r="71" spans="1:8" ht="15.75">
      <c r="A71" s="18">
        <v>101</v>
      </c>
      <c r="B71" s="22" t="s">
        <v>65</v>
      </c>
      <c r="C71" s="23">
        <f>2+4+5+7+17+23+15+6+12+8+2+1+3</f>
        <v>105</v>
      </c>
      <c r="D71" s="23">
        <f>7+14+2+33+11+8+7+10+3+3+5+3+2+1</f>
        <v>109</v>
      </c>
      <c r="E71" s="23">
        <f>8+2+11+28+28+6+8+6+3+7</f>
        <v>107</v>
      </c>
      <c r="F71" s="24">
        <v>43236</v>
      </c>
      <c r="G71" s="33">
        <f t="shared" si="8"/>
        <v>0.981651376146789</v>
      </c>
      <c r="H71" s="34">
        <f t="shared" si="9"/>
        <v>-2</v>
      </c>
    </row>
    <row r="72" spans="1:8" ht="15.75">
      <c r="A72" s="18">
        <v>107</v>
      </c>
      <c r="B72" s="22" t="s">
        <v>66</v>
      </c>
      <c r="C72" s="23">
        <f>5</f>
        <v>5</v>
      </c>
      <c r="D72" s="23">
        <f>5</f>
        <v>5</v>
      </c>
      <c r="E72" s="23">
        <f>5</f>
        <v>5</v>
      </c>
      <c r="F72" s="24">
        <v>43076</v>
      </c>
      <c r="G72" s="113">
        <f t="shared" si="8"/>
        <v>1</v>
      </c>
      <c r="H72" s="34">
        <f t="shared" si="9"/>
        <v>0</v>
      </c>
    </row>
    <row r="73" spans="1:8" ht="15.75">
      <c r="A73" s="18">
        <v>115</v>
      </c>
      <c r="B73" s="22" t="s">
        <v>44</v>
      </c>
      <c r="C73" s="23">
        <f>42+3</f>
        <v>45</v>
      </c>
      <c r="D73" s="23">
        <f>25+19</f>
        <v>44</v>
      </c>
      <c r="E73" s="23">
        <f>38</f>
        <v>38</v>
      </c>
      <c r="F73" s="24">
        <v>43152</v>
      </c>
      <c r="G73" s="33">
        <f t="shared" si="8"/>
        <v>0.8636363636363636</v>
      </c>
      <c r="H73" s="34">
        <f t="shared" si="9"/>
        <v>-6</v>
      </c>
    </row>
    <row r="74" spans="1:8" ht="15.75">
      <c r="A74" s="18">
        <v>132</v>
      </c>
      <c r="B74" s="22" t="s">
        <v>67</v>
      </c>
      <c r="C74" s="23">
        <f>14+14+13+10+19+1+1</f>
        <v>72</v>
      </c>
      <c r="D74" s="23">
        <f>26+15+7+5+21</f>
        <v>74</v>
      </c>
      <c r="E74" s="23">
        <f>11+7+6+13+6+3+7+2+1</f>
        <v>56</v>
      </c>
      <c r="F74" s="24">
        <v>43229</v>
      </c>
      <c r="G74" s="33">
        <f t="shared" si="8"/>
        <v>0.7567567567567568</v>
      </c>
      <c r="H74" s="34">
        <f t="shared" si="9"/>
        <v>-18</v>
      </c>
    </row>
    <row r="75" spans="1:8" ht="15.75">
      <c r="A75" s="18">
        <v>136</v>
      </c>
      <c r="B75" s="22" t="s">
        <v>68</v>
      </c>
      <c r="C75" s="23">
        <f>9+6+5+4+2+4+3+4</f>
        <v>37</v>
      </c>
      <c r="D75" s="23">
        <f>8+5+14+2+5</f>
        <v>34</v>
      </c>
      <c r="E75" s="23">
        <f>12+6+4+2+7</f>
        <v>31</v>
      </c>
      <c r="F75" s="24">
        <v>43305</v>
      </c>
      <c r="G75" s="33">
        <f t="shared" si="8"/>
        <v>0.9117647058823529</v>
      </c>
      <c r="H75" s="34">
        <f t="shared" si="9"/>
        <v>-3</v>
      </c>
    </row>
    <row r="76" spans="1:8" ht="15.75">
      <c r="A76" s="18">
        <v>139</v>
      </c>
      <c r="B76" s="22" t="s">
        <v>69</v>
      </c>
      <c r="C76" s="23">
        <f>3+2+3</f>
        <v>8</v>
      </c>
      <c r="D76" s="23">
        <f>1+3+3</f>
        <v>7</v>
      </c>
      <c r="E76" s="23">
        <f>7</f>
        <v>7</v>
      </c>
      <c r="F76" s="24">
        <v>42978</v>
      </c>
      <c r="G76" s="113">
        <f t="shared" si="8"/>
        <v>1</v>
      </c>
      <c r="H76" s="34">
        <f t="shared" si="9"/>
        <v>0</v>
      </c>
    </row>
    <row r="77" spans="1:8" ht="15.75">
      <c r="A77" s="18">
        <v>156</v>
      </c>
      <c r="B77" s="22" t="s">
        <v>38</v>
      </c>
      <c r="C77" s="23">
        <f>14+18+14+14+8+10</f>
        <v>78</v>
      </c>
      <c r="D77" s="23">
        <f>24+7+8+13+5+4+1</f>
        <v>62</v>
      </c>
      <c r="E77" s="23">
        <f>12+6+1+13+16+9+2</f>
        <v>59</v>
      </c>
      <c r="F77" s="24">
        <v>43236</v>
      </c>
      <c r="G77" s="33">
        <f t="shared" si="8"/>
        <v>0.9516129032258065</v>
      </c>
      <c r="H77" s="34">
        <f t="shared" si="9"/>
        <v>-3</v>
      </c>
    </row>
    <row r="78" spans="1:8" ht="15.75">
      <c r="A78" s="18">
        <v>159</v>
      </c>
      <c r="B78" s="22" t="s">
        <v>70</v>
      </c>
      <c r="C78" s="23">
        <f>20+25</f>
        <v>45</v>
      </c>
      <c r="D78" s="23">
        <f>31</f>
        <v>31</v>
      </c>
      <c r="E78" s="23">
        <f>32+2</f>
        <v>34</v>
      </c>
      <c r="F78" s="24">
        <v>43165</v>
      </c>
      <c r="G78" s="113">
        <f t="shared" si="8"/>
        <v>1.096774193548387</v>
      </c>
      <c r="H78" s="34">
        <f t="shared" si="9"/>
        <v>3</v>
      </c>
    </row>
    <row r="79" spans="1:8" ht="15.75">
      <c r="A79" s="18">
        <v>183</v>
      </c>
      <c r="B79" s="22" t="s">
        <v>71</v>
      </c>
      <c r="C79" s="23">
        <f>2+2</f>
        <v>4</v>
      </c>
      <c r="D79" s="23">
        <f>1+1+1</f>
        <v>3</v>
      </c>
      <c r="E79" s="23">
        <f>1+1</f>
        <v>2</v>
      </c>
      <c r="F79" s="24">
        <v>43083</v>
      </c>
      <c r="G79" s="33">
        <f t="shared" si="8"/>
        <v>0.6666666666666666</v>
      </c>
      <c r="H79" s="34">
        <f t="shared" si="9"/>
        <v>-1</v>
      </c>
    </row>
    <row r="80" spans="1:8" ht="15.75">
      <c r="A80" s="18">
        <v>191</v>
      </c>
      <c r="B80" s="22" t="s">
        <v>72</v>
      </c>
      <c r="C80" s="23">
        <f>18+5+9</f>
        <v>32</v>
      </c>
      <c r="D80" s="23">
        <f>18+8</f>
        <v>26</v>
      </c>
      <c r="E80" s="23">
        <f>12+13</f>
        <v>25</v>
      </c>
      <c r="F80" s="24">
        <v>43129</v>
      </c>
      <c r="G80" s="33">
        <f t="shared" si="8"/>
        <v>0.9615384615384616</v>
      </c>
      <c r="H80" s="34">
        <f t="shared" si="9"/>
        <v>-1</v>
      </c>
    </row>
    <row r="81" spans="1:8" ht="15.75">
      <c r="A81" s="18">
        <v>221</v>
      </c>
      <c r="B81" s="22" t="s">
        <v>73</v>
      </c>
      <c r="C81" s="23">
        <f>19+37+4+5+1</f>
        <v>66</v>
      </c>
      <c r="D81" s="23">
        <f>12+13+4+4+3+7+7+6+2+6</f>
        <v>64</v>
      </c>
      <c r="E81" s="23">
        <f>36+2+8+5+3+5+1+2+1+1</f>
        <v>64</v>
      </c>
      <c r="F81" s="80">
        <v>43350</v>
      </c>
      <c r="G81" s="33">
        <f t="shared" si="8"/>
        <v>1</v>
      </c>
      <c r="H81" s="34">
        <f t="shared" si="9"/>
        <v>0</v>
      </c>
    </row>
    <row r="82" spans="1:8" ht="15.75">
      <c r="A82" s="18">
        <v>247</v>
      </c>
      <c r="B82" s="22" t="s">
        <v>74</v>
      </c>
      <c r="C82" s="23">
        <f>2+3+5+5+10+5+1+2+5+3+1+2+1</f>
        <v>45</v>
      </c>
      <c r="D82" s="23">
        <f>3+7+5+4+6+1</f>
        <v>26</v>
      </c>
      <c r="E82" s="23">
        <f>4+4+6+4+1+1+1+1+1+3</f>
        <v>26</v>
      </c>
      <c r="F82" s="24">
        <v>43222</v>
      </c>
      <c r="G82" s="113">
        <f t="shared" si="8"/>
        <v>1</v>
      </c>
      <c r="H82" s="34">
        <f t="shared" si="9"/>
        <v>0</v>
      </c>
    </row>
    <row r="83" spans="1:8" ht="15.75">
      <c r="A83" s="18">
        <v>273</v>
      </c>
      <c r="B83" s="22" t="s">
        <v>75</v>
      </c>
      <c r="C83" s="23">
        <f>2+13+58+6+1</f>
        <v>80</v>
      </c>
      <c r="D83" s="23">
        <f>53+27+4+1</f>
        <v>85</v>
      </c>
      <c r="E83" s="23">
        <f>20+37+18+1+10+1</f>
        <v>87</v>
      </c>
      <c r="F83" s="24">
        <v>43397</v>
      </c>
      <c r="G83" s="113">
        <f t="shared" si="8"/>
        <v>1.0235294117647058</v>
      </c>
      <c r="H83" s="34">
        <f t="shared" si="9"/>
        <v>2</v>
      </c>
    </row>
    <row r="84" spans="1:8" ht="15.75">
      <c r="A84" s="18">
        <v>313</v>
      </c>
      <c r="B84" s="22" t="s">
        <v>35</v>
      </c>
      <c r="C84" s="23">
        <f>17+9</f>
        <v>26</v>
      </c>
      <c r="D84" s="23">
        <f>27</f>
        <v>27</v>
      </c>
      <c r="E84" s="23">
        <f>21</f>
        <v>21</v>
      </c>
      <c r="F84" s="45">
        <v>43230</v>
      </c>
      <c r="G84" s="33">
        <f t="shared" si="8"/>
        <v>0.7777777777777778</v>
      </c>
      <c r="H84" s="34">
        <f t="shared" si="9"/>
        <v>-6</v>
      </c>
    </row>
    <row r="85" spans="1:8" ht="15.75">
      <c r="A85" s="18">
        <v>315</v>
      </c>
      <c r="B85" s="22" t="s">
        <v>76</v>
      </c>
      <c r="C85" s="23">
        <f>6+5+6+7+3+1+1</f>
        <v>29</v>
      </c>
      <c r="D85" s="23">
        <f>4+4+1+6+2+4+3+2+5+2+2+1</f>
        <v>36</v>
      </c>
      <c r="E85" s="23">
        <f>6+2+4+8+2+7+2+1+1+1</f>
        <v>34</v>
      </c>
      <c r="F85" s="45">
        <v>43256</v>
      </c>
      <c r="G85" s="33">
        <f t="shared" si="8"/>
        <v>0.9444444444444444</v>
      </c>
      <c r="H85" s="34">
        <f t="shared" si="9"/>
        <v>-2</v>
      </c>
    </row>
    <row r="86" spans="1:11" ht="15.75">
      <c r="A86" s="18">
        <v>361</v>
      </c>
      <c r="B86" s="22" t="s">
        <v>77</v>
      </c>
      <c r="C86" s="23">
        <f>22</f>
        <v>22</v>
      </c>
      <c r="D86" s="23">
        <f>19</f>
        <v>19</v>
      </c>
      <c r="E86" s="23">
        <f>17</f>
        <v>17</v>
      </c>
      <c r="F86" s="45">
        <v>43096</v>
      </c>
      <c r="G86" s="33">
        <f t="shared" si="8"/>
        <v>0.8947368421052632</v>
      </c>
      <c r="H86" s="34">
        <f t="shared" si="9"/>
        <v>-2</v>
      </c>
      <c r="K86" s="57" t="s">
        <v>0</v>
      </c>
    </row>
    <row r="87" spans="1:8" ht="15.75">
      <c r="A87" s="18">
        <v>437</v>
      </c>
      <c r="B87" s="22" t="s">
        <v>78</v>
      </c>
      <c r="C87" s="23">
        <f>21+12+17+9+15+1</f>
        <v>75</v>
      </c>
      <c r="D87" s="23">
        <f>27+8+1+15+5+17+13</f>
        <v>86</v>
      </c>
      <c r="E87" s="23">
        <f>17+35+16</f>
        <v>68</v>
      </c>
      <c r="F87" s="45">
        <v>43171</v>
      </c>
      <c r="G87" s="33">
        <f t="shared" si="8"/>
        <v>0.7906976744186046</v>
      </c>
      <c r="H87" s="34">
        <f t="shared" si="9"/>
        <v>-18</v>
      </c>
    </row>
    <row r="88" spans="1:8" ht="15.75">
      <c r="A88" s="18">
        <v>440</v>
      </c>
      <c r="B88" s="22" t="s">
        <v>79</v>
      </c>
      <c r="C88" s="23">
        <f>40+40+39+20+10+20+19+9+1</f>
        <v>198</v>
      </c>
      <c r="D88" s="23">
        <f>50+50+25+25+25+25+15+8</f>
        <v>223</v>
      </c>
      <c r="E88" s="23">
        <f>43+21+48+6+6+7+5+3</f>
        <v>139</v>
      </c>
      <c r="F88" s="80">
        <v>43367</v>
      </c>
      <c r="G88" s="33">
        <f t="shared" si="8"/>
        <v>0.6233183856502242</v>
      </c>
      <c r="H88" s="34">
        <f t="shared" si="9"/>
        <v>-84</v>
      </c>
    </row>
    <row r="89" spans="1:8" ht="16.5" thickBot="1">
      <c r="A89" s="7">
        <v>442</v>
      </c>
      <c r="B89" s="22" t="s">
        <v>133</v>
      </c>
      <c r="C89" s="88">
        <f>7+2+1+10</f>
        <v>20</v>
      </c>
      <c r="D89" s="88">
        <f>20</f>
        <v>20</v>
      </c>
      <c r="E89" s="88">
        <f>20</f>
        <v>20</v>
      </c>
      <c r="F89" s="89">
        <v>43111</v>
      </c>
      <c r="G89" s="114">
        <f t="shared" si="8"/>
        <v>1</v>
      </c>
      <c r="H89" s="42">
        <f t="shared" si="9"/>
        <v>0</v>
      </c>
    </row>
    <row r="90" spans="1:8" s="56" customFormat="1" ht="15.75">
      <c r="A90" s="18"/>
      <c r="B90" s="22" t="s">
        <v>7</v>
      </c>
      <c r="C90" s="46">
        <f>SUM(C63:C89)</f>
        <v>1514</v>
      </c>
      <c r="D90" s="46">
        <f>SUM(D63:D89)</f>
        <v>1481</v>
      </c>
      <c r="E90" s="46">
        <f>SUM(E63:E89)</f>
        <v>1281</v>
      </c>
      <c r="F90" s="49"/>
      <c r="G90" s="29">
        <f t="shared" si="8"/>
        <v>0.8649561107359892</v>
      </c>
      <c r="H90" s="63">
        <f>E90-D90</f>
        <v>-200</v>
      </c>
    </row>
    <row r="91" spans="1:8" ht="15.75">
      <c r="A91" s="18"/>
      <c r="B91" s="19"/>
      <c r="C91" s="15"/>
      <c r="D91" s="15"/>
      <c r="E91" s="15"/>
      <c r="F91" s="20" t="s">
        <v>0</v>
      </c>
      <c r="G91" s="27"/>
      <c r="H91" s="13"/>
    </row>
    <row r="92" spans="1:8" ht="15.75">
      <c r="A92" s="18"/>
      <c r="B92" s="19"/>
      <c r="C92" s="15"/>
      <c r="D92" s="15"/>
      <c r="E92" s="15"/>
      <c r="F92" s="20"/>
      <c r="G92" s="18"/>
      <c r="H92" s="18"/>
    </row>
    <row r="93" spans="1:8" ht="15.75">
      <c r="A93" s="18"/>
      <c r="B93" s="19"/>
      <c r="C93" s="15"/>
      <c r="D93" s="15"/>
      <c r="E93" s="15"/>
      <c r="F93" s="20" t="s">
        <v>22</v>
      </c>
      <c r="G93" s="18"/>
      <c r="H93" s="19" t="s">
        <v>2</v>
      </c>
    </row>
    <row r="94" spans="1:8" ht="16.5" thickBot="1">
      <c r="A94" s="18"/>
      <c r="B94" s="22" t="s">
        <v>15</v>
      </c>
      <c r="C94" s="40">
        <v>2016</v>
      </c>
      <c r="D94" s="40">
        <v>2017</v>
      </c>
      <c r="E94" s="121">
        <v>2018</v>
      </c>
      <c r="F94" s="44" t="s">
        <v>34</v>
      </c>
      <c r="G94" s="40" t="s">
        <v>1</v>
      </c>
      <c r="H94" s="41">
        <v>1</v>
      </c>
    </row>
    <row r="95" spans="1:8" ht="15.75">
      <c r="A95" s="18">
        <v>18</v>
      </c>
      <c r="B95" s="22" t="s">
        <v>80</v>
      </c>
      <c r="C95" s="50">
        <f>23+23+24+21+23+14+23+20+1+34</f>
        <v>206</v>
      </c>
      <c r="D95" s="50">
        <f>24+24+47+19+9+24+23+22+18+2+8+1+2+2</f>
        <v>225</v>
      </c>
      <c r="E95" s="50">
        <f>24+22+24+23+19+40+34+16+14+6+3+6+2+1+3</f>
        <v>237</v>
      </c>
      <c r="F95" s="51">
        <v>43552</v>
      </c>
      <c r="G95" s="127">
        <f aca="true" t="shared" si="10" ref="G95:G109">E95/D95</f>
        <v>1.0533333333333332</v>
      </c>
      <c r="H95" s="34">
        <f aca="true" t="shared" si="11" ref="H95:H108">E95-D95</f>
        <v>12</v>
      </c>
    </row>
    <row r="96" spans="1:8" ht="15.75">
      <c r="A96" s="18">
        <v>24</v>
      </c>
      <c r="B96" s="22" t="s">
        <v>81</v>
      </c>
      <c r="C96" s="23">
        <f>9+9+8+25+18+17+18+19+11+7+8+1+1</f>
        <v>151</v>
      </c>
      <c r="D96" s="23">
        <f>11+18+12+13+16+16+19+9+17+6+8+4+1+1+1</f>
        <v>152</v>
      </c>
      <c r="E96" s="23">
        <f>15+14+14+11+22+19+14+16+11+4+3+2+1+4+1+1</f>
        <v>152</v>
      </c>
      <c r="F96" s="80">
        <v>43264</v>
      </c>
      <c r="G96" s="127">
        <f t="shared" si="10"/>
        <v>1</v>
      </c>
      <c r="H96" s="34">
        <f t="shared" si="11"/>
        <v>0</v>
      </c>
    </row>
    <row r="97" spans="1:254" ht="15.75">
      <c r="A97" s="18">
        <v>79</v>
      </c>
      <c r="B97" s="22" t="s">
        <v>82</v>
      </c>
      <c r="C97" s="23">
        <f>14+2+4</f>
        <v>20</v>
      </c>
      <c r="D97" s="23">
        <f>4+6+2+2+3+1</f>
        <v>18</v>
      </c>
      <c r="E97" s="23">
        <f>7+8</f>
        <v>15</v>
      </c>
      <c r="F97" s="24">
        <v>43144</v>
      </c>
      <c r="G97" s="33">
        <f t="shared" si="10"/>
        <v>0.8333333333333334</v>
      </c>
      <c r="H97" s="34">
        <f t="shared" si="11"/>
        <v>-3</v>
      </c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</row>
    <row r="98" spans="1:8" ht="15.75">
      <c r="A98" s="18">
        <v>93</v>
      </c>
      <c r="B98" s="22" t="s">
        <v>83</v>
      </c>
      <c r="C98" s="23">
        <f>13+2+19</f>
        <v>34</v>
      </c>
      <c r="D98" s="23">
        <v>0</v>
      </c>
      <c r="E98" s="23">
        <v>0</v>
      </c>
      <c r="F98" s="24"/>
      <c r="G98" s="33" t="e">
        <f t="shared" si="10"/>
        <v>#DIV/0!</v>
      </c>
      <c r="H98" s="34">
        <f t="shared" si="11"/>
        <v>0</v>
      </c>
    </row>
    <row r="99" spans="1:8" ht="16.5" customHeight="1">
      <c r="A99" s="18">
        <v>106</v>
      </c>
      <c r="B99" s="22" t="s">
        <v>84</v>
      </c>
      <c r="C99" s="23">
        <f>17+16+12+11+10+11+2+4</f>
        <v>83</v>
      </c>
      <c r="D99" s="23">
        <f>8+3+9+2+9+8+20+7+2+2+2+2+2+1+1</f>
        <v>78</v>
      </c>
      <c r="E99" s="23">
        <f>31+12+20+2+3+5+1+2+1</f>
        <v>77</v>
      </c>
      <c r="F99" s="24">
        <v>43552</v>
      </c>
      <c r="G99" s="33">
        <f t="shared" si="10"/>
        <v>0.9871794871794872</v>
      </c>
      <c r="H99" s="34">
        <f t="shared" si="11"/>
        <v>-1</v>
      </c>
    </row>
    <row r="100" spans="1:8" ht="15.75">
      <c r="A100" s="18">
        <v>110</v>
      </c>
      <c r="B100" s="22" t="s">
        <v>85</v>
      </c>
      <c r="C100" s="23">
        <f>19+11+6+4+1</f>
        <v>41</v>
      </c>
      <c r="D100" s="23">
        <f>16+14+5+2</f>
        <v>37</v>
      </c>
      <c r="E100" s="23">
        <f>22+9+5</f>
        <v>36</v>
      </c>
      <c r="F100" s="24">
        <v>43237</v>
      </c>
      <c r="G100" s="33">
        <f t="shared" si="10"/>
        <v>0.972972972972973</v>
      </c>
      <c r="H100" s="34">
        <f t="shared" si="11"/>
        <v>-1</v>
      </c>
    </row>
    <row r="101" spans="1:8" ht="15.75">
      <c r="A101" s="18">
        <v>114</v>
      </c>
      <c r="B101" s="22" t="s">
        <v>86</v>
      </c>
      <c r="C101" s="23">
        <f>14+1+23+21+5</f>
        <v>64</v>
      </c>
      <c r="D101" s="23">
        <f>13+21+5</f>
        <v>39</v>
      </c>
      <c r="E101" s="23">
        <f>25</f>
        <v>25</v>
      </c>
      <c r="F101" s="24">
        <v>43089</v>
      </c>
      <c r="G101" s="33">
        <f t="shared" si="10"/>
        <v>0.6410256410256411</v>
      </c>
      <c r="H101" s="34">
        <f t="shared" si="11"/>
        <v>-14</v>
      </c>
    </row>
    <row r="102" spans="1:8" ht="15.75">
      <c r="A102" s="18">
        <v>118</v>
      </c>
      <c r="B102" s="22" t="s">
        <v>87</v>
      </c>
      <c r="C102" s="23">
        <f>30+21+43+24</f>
        <v>118</v>
      </c>
      <c r="D102" s="23">
        <f>67+23</f>
        <v>90</v>
      </c>
      <c r="E102" s="23">
        <f>47</f>
        <v>47</v>
      </c>
      <c r="F102" s="24">
        <v>43290</v>
      </c>
      <c r="G102" s="33">
        <f t="shared" si="10"/>
        <v>0.5222222222222223</v>
      </c>
      <c r="H102" s="34">
        <f t="shared" si="11"/>
        <v>-43</v>
      </c>
    </row>
    <row r="103" spans="1:8" ht="15.75">
      <c r="A103" s="18">
        <v>137</v>
      </c>
      <c r="B103" s="22" t="s">
        <v>88</v>
      </c>
      <c r="C103" s="23">
        <f>12+1+3+2+5</f>
        <v>23</v>
      </c>
      <c r="D103" s="23">
        <v>0</v>
      </c>
      <c r="E103" s="23">
        <v>0</v>
      </c>
      <c r="F103" s="24"/>
      <c r="G103" s="33" t="e">
        <f t="shared" si="10"/>
        <v>#DIV/0!</v>
      </c>
      <c r="H103" s="34">
        <f t="shared" si="11"/>
        <v>0</v>
      </c>
    </row>
    <row r="104" spans="1:8" ht="15.75">
      <c r="A104" s="18">
        <v>209</v>
      </c>
      <c r="B104" s="22" t="s">
        <v>127</v>
      </c>
      <c r="C104" s="23">
        <f>30</f>
        <v>30</v>
      </c>
      <c r="D104" s="23">
        <f>31</f>
        <v>31</v>
      </c>
      <c r="E104" s="23">
        <f>30</f>
        <v>30</v>
      </c>
      <c r="F104" s="24">
        <v>43199</v>
      </c>
      <c r="G104" s="33">
        <f t="shared" si="10"/>
        <v>0.967741935483871</v>
      </c>
      <c r="H104" s="34">
        <f t="shared" si="11"/>
        <v>-1</v>
      </c>
    </row>
    <row r="105" spans="1:8" ht="15.75">
      <c r="A105" s="18">
        <v>225</v>
      </c>
      <c r="B105" s="22" t="s">
        <v>89</v>
      </c>
      <c r="C105" s="23">
        <f>32+6</f>
        <v>38</v>
      </c>
      <c r="D105" s="23">
        <f>14+15+6</f>
        <v>35</v>
      </c>
      <c r="E105" s="23">
        <f>16+5+6+2</f>
        <v>29</v>
      </c>
      <c r="F105" s="24">
        <v>43377</v>
      </c>
      <c r="G105" s="33">
        <f t="shared" si="10"/>
        <v>0.8285714285714286</v>
      </c>
      <c r="H105" s="34">
        <f t="shared" si="11"/>
        <v>-6</v>
      </c>
    </row>
    <row r="106" spans="1:8" ht="15.75">
      <c r="A106" s="18">
        <v>294</v>
      </c>
      <c r="B106" s="22" t="s">
        <v>29</v>
      </c>
      <c r="C106" s="23">
        <f>9+16+3+1+3+1+1</f>
        <v>34</v>
      </c>
      <c r="D106" s="23">
        <f>5+5+15+4+3+9+3</f>
        <v>44</v>
      </c>
      <c r="E106" s="23">
        <f>3+10+7+10+3+6+4+5+1+1+1</f>
        <v>51</v>
      </c>
      <c r="F106" s="24">
        <v>43558</v>
      </c>
      <c r="G106" s="113">
        <f t="shared" si="10"/>
        <v>1.1590909090909092</v>
      </c>
      <c r="H106" s="34">
        <f t="shared" si="11"/>
        <v>7</v>
      </c>
    </row>
    <row r="107" spans="1:8" ht="15.75">
      <c r="A107" s="18">
        <v>380</v>
      </c>
      <c r="B107" s="22" t="s">
        <v>91</v>
      </c>
      <c r="C107" s="23">
        <f>10</f>
        <v>10</v>
      </c>
      <c r="D107" s="23">
        <f>10</f>
        <v>10</v>
      </c>
      <c r="E107" s="23">
        <f>10</f>
        <v>10</v>
      </c>
      <c r="F107" s="24">
        <v>43199</v>
      </c>
      <c r="G107" s="113">
        <f t="shared" si="10"/>
        <v>1</v>
      </c>
      <c r="H107" s="34">
        <f t="shared" si="11"/>
        <v>0</v>
      </c>
    </row>
    <row r="108" spans="1:8" ht="16.5" thickBot="1">
      <c r="A108" s="18">
        <v>382</v>
      </c>
      <c r="B108" s="22" t="s">
        <v>90</v>
      </c>
      <c r="C108" s="52">
        <f>5+9+11+7+34+5+9+1</f>
        <v>81</v>
      </c>
      <c r="D108" s="52">
        <f>7+1+9+11+7+7+10+18+2+1+1+1</f>
        <v>75</v>
      </c>
      <c r="E108" s="52">
        <f>2+11+10+5+10+16+12+2+15</f>
        <v>83</v>
      </c>
      <c r="F108" s="53">
        <v>43374</v>
      </c>
      <c r="G108" s="36">
        <f t="shared" si="10"/>
        <v>1.1066666666666667</v>
      </c>
      <c r="H108" s="42">
        <f t="shared" si="11"/>
        <v>8</v>
      </c>
    </row>
    <row r="109" spans="1:8" s="56" customFormat="1" ht="15.75">
      <c r="A109" s="18"/>
      <c r="B109" s="22" t="s">
        <v>7</v>
      </c>
      <c r="C109" s="46">
        <f>SUM(C95:C108)</f>
        <v>933</v>
      </c>
      <c r="D109" s="46">
        <f>SUM(D95:D108)</f>
        <v>834</v>
      </c>
      <c r="E109" s="46">
        <f>SUM(E95:E108)</f>
        <v>792</v>
      </c>
      <c r="F109" s="49"/>
      <c r="G109" s="29">
        <f t="shared" si="10"/>
        <v>0.9496402877697842</v>
      </c>
      <c r="H109" s="63">
        <f>E109-D109</f>
        <v>-42</v>
      </c>
    </row>
    <row r="110" spans="1:8" ht="15.75">
      <c r="A110" s="18"/>
      <c r="B110" s="22"/>
      <c r="C110" s="15"/>
      <c r="D110" s="15"/>
      <c r="E110" s="15"/>
      <c r="F110" s="25"/>
      <c r="G110" s="26"/>
      <c r="H110" s="13"/>
    </row>
    <row r="111" spans="1:8" ht="15.75">
      <c r="A111" s="18"/>
      <c r="B111" s="22"/>
      <c r="C111" s="15"/>
      <c r="D111" s="15"/>
      <c r="E111" s="15"/>
      <c r="F111" s="20" t="s">
        <v>22</v>
      </c>
      <c r="G111" s="18"/>
      <c r="H111" s="19" t="s">
        <v>2</v>
      </c>
    </row>
    <row r="112" spans="1:8" ht="16.5" thickBot="1">
      <c r="A112" s="18"/>
      <c r="B112" s="22" t="s">
        <v>16</v>
      </c>
      <c r="C112" s="40">
        <v>2016</v>
      </c>
      <c r="D112" s="46">
        <v>2017</v>
      </c>
      <c r="E112" s="121">
        <v>2018</v>
      </c>
      <c r="F112" s="20" t="s">
        <v>34</v>
      </c>
      <c r="G112" s="40" t="s">
        <v>1</v>
      </c>
      <c r="H112" s="41">
        <v>1</v>
      </c>
    </row>
    <row r="113" spans="1:8" ht="15.75">
      <c r="A113" s="18">
        <v>16</v>
      </c>
      <c r="B113" s="22" t="s">
        <v>92</v>
      </c>
      <c r="C113" s="37">
        <f>9+9+7+1+4</f>
        <v>30</v>
      </c>
      <c r="D113" s="37">
        <f>10+6+4+2+4</f>
        <v>26</v>
      </c>
      <c r="E113" s="37">
        <f>16+1+3+12</f>
        <v>32</v>
      </c>
      <c r="F113" s="38">
        <v>43573</v>
      </c>
      <c r="G113" s="33">
        <f aca="true" t="shared" si="12" ref="G113:G119">E113/D113</f>
        <v>1.2307692307692308</v>
      </c>
      <c r="H113" s="34">
        <f aca="true" t="shared" si="13" ref="H113:H119">E113-D113</f>
        <v>6</v>
      </c>
    </row>
    <row r="114" spans="1:8" ht="15.75">
      <c r="A114" s="18">
        <v>26</v>
      </c>
      <c r="B114" s="67" t="s">
        <v>135</v>
      </c>
      <c r="C114" s="90">
        <f>1+1+1</f>
        <v>3</v>
      </c>
      <c r="D114" s="90">
        <f>2+1+1+1</f>
        <v>5</v>
      </c>
      <c r="E114" s="90">
        <f>1+2+1+1</f>
        <v>5</v>
      </c>
      <c r="F114" s="91">
        <v>43026</v>
      </c>
      <c r="G114" s="113">
        <f t="shared" si="12"/>
        <v>1</v>
      </c>
      <c r="H114" s="34">
        <f t="shared" si="13"/>
        <v>0</v>
      </c>
    </row>
    <row r="115" spans="1:8" ht="15.75">
      <c r="A115" s="18">
        <v>61</v>
      </c>
      <c r="B115" s="67" t="s">
        <v>134</v>
      </c>
      <c r="C115" s="31">
        <f>4+6+5+1</f>
        <v>16</v>
      </c>
      <c r="D115" s="31">
        <f>7+12+1+1</f>
        <v>21</v>
      </c>
      <c r="E115" s="31">
        <f>16+3</f>
        <v>19</v>
      </c>
      <c r="F115" s="32">
        <v>43214</v>
      </c>
      <c r="G115" s="33">
        <f t="shared" si="12"/>
        <v>0.9047619047619048</v>
      </c>
      <c r="H115" s="34">
        <f t="shared" si="13"/>
        <v>-2</v>
      </c>
    </row>
    <row r="116" spans="1:8" ht="15.75">
      <c r="A116" s="18">
        <v>78</v>
      </c>
      <c r="B116" s="22" t="s">
        <v>93</v>
      </c>
      <c r="C116" s="31">
        <f>3+10+3+9+9+12+4+2+2+4+1</f>
        <v>59</v>
      </c>
      <c r="D116" s="31">
        <f>15+8+8+3+2+2+1+8+3+1+6</f>
        <v>57</v>
      </c>
      <c r="E116" s="31">
        <f>5+13+3+10+4+3+4+1+1+2+5+2</f>
        <v>53</v>
      </c>
      <c r="F116" s="32">
        <v>43293</v>
      </c>
      <c r="G116" s="33">
        <f t="shared" si="12"/>
        <v>0.9298245614035088</v>
      </c>
      <c r="H116" s="34">
        <f t="shared" si="13"/>
        <v>-4</v>
      </c>
    </row>
    <row r="117" spans="1:8" ht="15.75">
      <c r="A117" s="18">
        <v>117</v>
      </c>
      <c r="B117" s="67" t="s">
        <v>136</v>
      </c>
      <c r="C117" s="31">
        <f>1</f>
        <v>1</v>
      </c>
      <c r="D117" s="31">
        <f>2</f>
        <v>2</v>
      </c>
      <c r="E117" s="31">
        <f>2</f>
        <v>2</v>
      </c>
      <c r="F117" s="32">
        <v>42934</v>
      </c>
      <c r="G117" s="113">
        <f t="shared" si="12"/>
        <v>1</v>
      </c>
      <c r="H117" s="111">
        <f t="shared" si="13"/>
        <v>0</v>
      </c>
    </row>
    <row r="118" spans="1:8" ht="16.5" thickBot="1">
      <c r="A118" s="18">
        <v>297</v>
      </c>
      <c r="B118" s="67" t="s">
        <v>143</v>
      </c>
      <c r="C118" s="35">
        <v>0</v>
      </c>
      <c r="D118" s="35">
        <v>0</v>
      </c>
      <c r="E118" s="35">
        <f>11</f>
        <v>11</v>
      </c>
      <c r="F118" s="97">
        <v>42989</v>
      </c>
      <c r="G118" s="36"/>
      <c r="H118" s="112"/>
    </row>
    <row r="119" spans="1:8" s="56" customFormat="1" ht="15.75">
      <c r="A119" s="18"/>
      <c r="B119" s="22" t="s">
        <v>7</v>
      </c>
      <c r="C119" s="46">
        <f>SUM(C113:C117)</f>
        <v>109</v>
      </c>
      <c r="D119" s="46">
        <f>SUM(D113:D117)</f>
        <v>111</v>
      </c>
      <c r="E119" s="46">
        <f>SUM(E113:E118)</f>
        <v>122</v>
      </c>
      <c r="F119" s="49"/>
      <c r="G119" s="29">
        <f t="shared" si="12"/>
        <v>1.0990990990990992</v>
      </c>
      <c r="H119" s="63">
        <f t="shared" si="13"/>
        <v>11</v>
      </c>
    </row>
    <row r="120" spans="1:254" ht="15.75">
      <c r="A120" s="18"/>
      <c r="B120" s="22"/>
      <c r="C120" s="15"/>
      <c r="D120" s="15"/>
      <c r="E120" s="15"/>
      <c r="F120" s="25"/>
      <c r="G120" s="26"/>
      <c r="H120" s="13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  <c r="CA120" s="28"/>
      <c r="CB120" s="28"/>
      <c r="CC120" s="28"/>
      <c r="CD120" s="28"/>
      <c r="CE120" s="28"/>
      <c r="CF120" s="28"/>
      <c r="CG120" s="28"/>
      <c r="CH120" s="28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8"/>
      <c r="CW120" s="28"/>
      <c r="CX120" s="28"/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28"/>
      <c r="DP120" s="28"/>
      <c r="DQ120" s="28"/>
      <c r="DR120" s="28"/>
      <c r="DS120" s="28"/>
      <c r="DT120" s="28"/>
      <c r="DU120" s="28"/>
      <c r="DV120" s="28"/>
      <c r="DW120" s="28"/>
      <c r="DX120" s="28"/>
      <c r="DY120" s="28"/>
      <c r="DZ120" s="28"/>
      <c r="EA120" s="28"/>
      <c r="EB120" s="28"/>
      <c r="EC120" s="28"/>
      <c r="ED120" s="28"/>
      <c r="EE120" s="28"/>
      <c r="EF120" s="28"/>
      <c r="EG120" s="28"/>
      <c r="EH120" s="28"/>
      <c r="EI120" s="28"/>
      <c r="EJ120" s="28"/>
      <c r="EK120" s="28"/>
      <c r="EL120" s="28"/>
      <c r="EM120" s="28"/>
      <c r="EN120" s="28"/>
      <c r="EO120" s="28"/>
      <c r="EP120" s="28"/>
      <c r="EQ120" s="28"/>
      <c r="ER120" s="28"/>
      <c r="ES120" s="28"/>
      <c r="ET120" s="28"/>
      <c r="EU120" s="28"/>
      <c r="EV120" s="28"/>
      <c r="EW120" s="28"/>
      <c r="EX120" s="28"/>
      <c r="EY120" s="28"/>
      <c r="EZ120" s="28"/>
      <c r="FA120" s="28"/>
      <c r="FB120" s="28"/>
      <c r="FC120" s="28"/>
      <c r="FD120" s="28"/>
      <c r="FE120" s="28"/>
      <c r="FF120" s="28"/>
      <c r="FG120" s="28"/>
      <c r="FH120" s="28"/>
      <c r="FI120" s="28"/>
      <c r="FJ120" s="28"/>
      <c r="FK120" s="28"/>
      <c r="FL120" s="28"/>
      <c r="FM120" s="28"/>
      <c r="FN120" s="28"/>
      <c r="FO120" s="28"/>
      <c r="FP120" s="28"/>
      <c r="FQ120" s="28"/>
      <c r="FR120" s="28"/>
      <c r="FS120" s="28"/>
      <c r="FT120" s="28"/>
      <c r="FU120" s="28"/>
      <c r="FV120" s="28"/>
      <c r="FW120" s="28"/>
      <c r="FX120" s="28"/>
      <c r="FY120" s="28"/>
      <c r="FZ120" s="28"/>
      <c r="GA120" s="28"/>
      <c r="GB120" s="28"/>
      <c r="GC120" s="28"/>
      <c r="GD120" s="28"/>
      <c r="GE120" s="28"/>
      <c r="GF120" s="28"/>
      <c r="GG120" s="28"/>
      <c r="GH120" s="28"/>
      <c r="GI120" s="28"/>
      <c r="GJ120" s="28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8"/>
      <c r="GX120" s="28"/>
      <c r="GY120" s="28"/>
      <c r="GZ120" s="28"/>
      <c r="HA120" s="28"/>
      <c r="HB120" s="28"/>
      <c r="HC120" s="28"/>
      <c r="HD120" s="28"/>
      <c r="HE120" s="28"/>
      <c r="HF120" s="28"/>
      <c r="HG120" s="28"/>
      <c r="HH120" s="28"/>
      <c r="HI120" s="28"/>
      <c r="HJ120" s="28"/>
      <c r="HK120" s="28"/>
      <c r="HL120" s="28"/>
      <c r="HM120" s="28"/>
      <c r="HN120" s="28"/>
      <c r="HO120" s="28"/>
      <c r="HP120" s="28"/>
      <c r="HQ120" s="28"/>
      <c r="HR120" s="28"/>
      <c r="HS120" s="28"/>
      <c r="HT120" s="28"/>
      <c r="HU120" s="28"/>
      <c r="HV120" s="28"/>
      <c r="HW120" s="28"/>
      <c r="HX120" s="28"/>
      <c r="HY120" s="28"/>
      <c r="HZ120" s="28"/>
      <c r="IA120" s="28"/>
      <c r="IB120" s="28"/>
      <c r="IC120" s="28"/>
      <c r="ID120" s="28"/>
      <c r="IE120" s="28"/>
      <c r="IF120" s="28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</row>
    <row r="121" spans="1:8" ht="15.75">
      <c r="A121" s="18"/>
      <c r="B121" s="22"/>
      <c r="C121" s="15"/>
      <c r="D121" s="15"/>
      <c r="E121" s="15"/>
      <c r="F121" s="20" t="s">
        <v>22</v>
      </c>
      <c r="G121" s="18"/>
      <c r="H121" s="19" t="s">
        <v>2</v>
      </c>
    </row>
    <row r="122" spans="1:8" ht="16.5" thickBot="1">
      <c r="A122" s="18"/>
      <c r="B122" s="22" t="s">
        <v>17</v>
      </c>
      <c r="C122" s="40">
        <v>2016</v>
      </c>
      <c r="D122" s="46">
        <v>2017</v>
      </c>
      <c r="E122" s="121">
        <v>2018</v>
      </c>
      <c r="F122" s="20" t="s">
        <v>34</v>
      </c>
      <c r="G122" s="40" t="s">
        <v>1</v>
      </c>
      <c r="H122" s="41">
        <v>1</v>
      </c>
    </row>
    <row r="123" spans="1:8" ht="15.75">
      <c r="A123" s="18">
        <v>3</v>
      </c>
      <c r="B123" s="22" t="s">
        <v>94</v>
      </c>
      <c r="C123" s="50">
        <f>6+2+2+7+4+5+4+7+1</f>
        <v>38</v>
      </c>
      <c r="D123" s="50">
        <f>4+9+4+3+2+4+5+5+3+2</f>
        <v>41</v>
      </c>
      <c r="E123" s="50">
        <f>6+9+2+2+1+1+6+1+3+4+4+3+2+2+1</f>
        <v>47</v>
      </c>
      <c r="F123" s="99">
        <v>43318</v>
      </c>
      <c r="G123" s="113">
        <f aca="true" t="shared" si="14" ref="G123:G132">E123/D123</f>
        <v>1.146341463414634</v>
      </c>
      <c r="H123" s="34">
        <f aca="true" t="shared" si="15" ref="H123:H131">E123-D123</f>
        <v>6</v>
      </c>
    </row>
    <row r="124" spans="1:8" ht="15.75">
      <c r="A124" s="18">
        <v>4</v>
      </c>
      <c r="B124" s="22" t="s">
        <v>95</v>
      </c>
      <c r="C124" s="23">
        <f>1+8+1+2+2+2+4+2+2+1+2+3+1</f>
        <v>31</v>
      </c>
      <c r="D124" s="23">
        <f>9+1+2+7+6+2+4+1+2+1</f>
        <v>35</v>
      </c>
      <c r="E124" s="23">
        <f>11+8+6+6+6+5+4+2+1+1+3+1+2</f>
        <v>56</v>
      </c>
      <c r="F124" s="45">
        <v>43223</v>
      </c>
      <c r="G124" s="113">
        <f t="shared" si="14"/>
        <v>1.6</v>
      </c>
      <c r="H124" s="34">
        <f t="shared" si="15"/>
        <v>21</v>
      </c>
    </row>
    <row r="125" spans="1:8" ht="15.75">
      <c r="A125" s="18">
        <v>6</v>
      </c>
      <c r="B125" s="22" t="s">
        <v>96</v>
      </c>
      <c r="C125" s="23">
        <f>19</f>
        <v>19</v>
      </c>
      <c r="D125" s="23">
        <f>19+4</f>
        <v>23</v>
      </c>
      <c r="E125" s="23">
        <f>7+5</f>
        <v>12</v>
      </c>
      <c r="F125" s="45">
        <v>43144</v>
      </c>
      <c r="G125" s="33">
        <f t="shared" si="14"/>
        <v>0.5217391304347826</v>
      </c>
      <c r="H125" s="34">
        <f t="shared" si="15"/>
        <v>-11</v>
      </c>
    </row>
    <row r="126" spans="1:8" ht="15.75">
      <c r="A126" s="18">
        <v>113</v>
      </c>
      <c r="B126" s="22" t="s">
        <v>97</v>
      </c>
      <c r="C126" s="23">
        <f>2+11+11+10+9+10+8+8+5+5+4+4+1+1</f>
        <v>89</v>
      </c>
      <c r="D126" s="23">
        <f>2+12+13+10+10+15+9+7+4+6+3+1</f>
        <v>92</v>
      </c>
      <c r="E126" s="23">
        <f>1+9+8+8+8+10+8+6+10+7+8+4</f>
        <v>87</v>
      </c>
      <c r="F126" s="24">
        <v>43402</v>
      </c>
      <c r="G126" s="33">
        <f t="shared" si="14"/>
        <v>0.9456521739130435</v>
      </c>
      <c r="H126" s="34">
        <f t="shared" si="15"/>
        <v>-5</v>
      </c>
    </row>
    <row r="127" spans="1:8" ht="15.75">
      <c r="A127" s="18">
        <v>122</v>
      </c>
      <c r="B127" s="22" t="s">
        <v>124</v>
      </c>
      <c r="C127" s="23">
        <f>5+12</f>
        <v>17</v>
      </c>
      <c r="D127" s="23">
        <f>18+2+5+2</f>
        <v>27</v>
      </c>
      <c r="E127" s="23">
        <f>10+4+6+1+4+1</f>
        <v>26</v>
      </c>
      <c r="F127" s="24">
        <v>43175</v>
      </c>
      <c r="G127" s="33">
        <f t="shared" si="14"/>
        <v>0.9629629629629629</v>
      </c>
      <c r="H127" s="34">
        <f t="shared" si="15"/>
        <v>-1</v>
      </c>
    </row>
    <row r="128" spans="1:254" ht="15.75">
      <c r="A128" s="18">
        <v>194</v>
      </c>
      <c r="B128" s="22" t="s">
        <v>98</v>
      </c>
      <c r="C128" s="70">
        <f>74+10</f>
        <v>84</v>
      </c>
      <c r="D128" s="70">
        <f>72+8+5+2+1</f>
        <v>88</v>
      </c>
      <c r="E128" s="70">
        <f>66+6+6</f>
        <v>78</v>
      </c>
      <c r="F128" s="24">
        <v>43178</v>
      </c>
      <c r="G128" s="33">
        <f t="shared" si="14"/>
        <v>0.8863636363636364</v>
      </c>
      <c r="H128" s="34">
        <f t="shared" si="15"/>
        <v>-10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</row>
    <row r="129" spans="1:8" ht="15.75">
      <c r="A129" s="18">
        <v>210</v>
      </c>
      <c r="B129" s="22" t="s">
        <v>99</v>
      </c>
      <c r="C129" s="23">
        <f>5+2</f>
        <v>7</v>
      </c>
      <c r="D129" s="23">
        <v>0</v>
      </c>
      <c r="E129" s="23">
        <v>0</v>
      </c>
      <c r="F129" s="24"/>
      <c r="G129" s="33" t="e">
        <f t="shared" si="14"/>
        <v>#DIV/0!</v>
      </c>
      <c r="H129" s="34">
        <f t="shared" si="15"/>
        <v>0</v>
      </c>
    </row>
    <row r="130" spans="1:8" ht="15.75">
      <c r="A130" s="18">
        <v>227</v>
      </c>
      <c r="B130" s="22" t="s">
        <v>100</v>
      </c>
      <c r="C130" s="23">
        <f>11+7+13+8+5+5+11+12+5+3+3+3+1</f>
        <v>87</v>
      </c>
      <c r="D130" s="23">
        <f>7+11+14+11+11+13+11+3+2+1</f>
        <v>84</v>
      </c>
      <c r="E130" s="23">
        <f>18+10+13+6+11+8+3+8+1</f>
        <v>78</v>
      </c>
      <c r="F130" s="45">
        <v>43538</v>
      </c>
      <c r="G130" s="33">
        <f t="shared" si="14"/>
        <v>0.9285714285714286</v>
      </c>
      <c r="H130" s="34">
        <f t="shared" si="15"/>
        <v>-6</v>
      </c>
    </row>
    <row r="131" spans="1:8" ht="16.5" thickBot="1">
      <c r="A131" s="18">
        <v>331</v>
      </c>
      <c r="B131" s="22" t="s">
        <v>101</v>
      </c>
      <c r="C131" s="52">
        <f>7+4+1+5+2+6+8+6+4+3+6+4+2+1</f>
        <v>59</v>
      </c>
      <c r="D131" s="52">
        <f>5+15+1+4+7+3+5+4+2+2+4+4+3</f>
        <v>59</v>
      </c>
      <c r="E131" s="52">
        <f>3+3+5+1+3+4+5+5+3+3+1+1+9+3+8+2</f>
        <v>59</v>
      </c>
      <c r="F131" s="53">
        <v>43209</v>
      </c>
      <c r="G131" s="114">
        <f t="shared" si="14"/>
        <v>1</v>
      </c>
      <c r="H131" s="42">
        <f t="shared" si="15"/>
        <v>0</v>
      </c>
    </row>
    <row r="132" spans="1:8" s="56" customFormat="1" ht="15.75">
      <c r="A132" s="18"/>
      <c r="B132" s="22" t="s">
        <v>7</v>
      </c>
      <c r="C132" s="64">
        <f>SUM(C123:C131)</f>
        <v>431</v>
      </c>
      <c r="D132" s="64">
        <f>SUM(D123:D131)</f>
        <v>449</v>
      </c>
      <c r="E132" s="64">
        <f>SUM(E123:E131)</f>
        <v>443</v>
      </c>
      <c r="F132" s="49"/>
      <c r="G132" s="29">
        <f t="shared" si="14"/>
        <v>0.9866369710467706</v>
      </c>
      <c r="H132" s="63">
        <f>E132-D132</f>
        <v>-6</v>
      </c>
    </row>
    <row r="133" spans="1:8" ht="15.75">
      <c r="A133" s="18"/>
      <c r="B133" s="19"/>
      <c r="C133" s="15"/>
      <c r="D133" s="15"/>
      <c r="E133" s="15"/>
      <c r="F133" s="25"/>
      <c r="G133" s="27"/>
      <c r="H133" s="18"/>
    </row>
    <row r="134" spans="1:8" ht="15.75">
      <c r="A134" s="18"/>
      <c r="B134" s="19"/>
      <c r="C134" s="15"/>
      <c r="D134" s="15"/>
      <c r="E134" s="15"/>
      <c r="F134" s="20" t="s">
        <v>22</v>
      </c>
      <c r="G134" s="18"/>
      <c r="H134" s="19" t="s">
        <v>2</v>
      </c>
    </row>
    <row r="135" spans="1:8" ht="16.5" thickBot="1">
      <c r="A135" s="18"/>
      <c r="B135" s="22" t="s">
        <v>18</v>
      </c>
      <c r="C135" s="40">
        <v>2016</v>
      </c>
      <c r="D135" s="46">
        <v>2017</v>
      </c>
      <c r="E135" s="121">
        <v>2018</v>
      </c>
      <c r="F135" s="20" t="s">
        <v>34</v>
      </c>
      <c r="G135" s="40" t="s">
        <v>1</v>
      </c>
      <c r="H135" s="41">
        <v>1</v>
      </c>
    </row>
    <row r="136" spans="1:8" ht="15.75">
      <c r="A136" s="18">
        <v>121</v>
      </c>
      <c r="B136" s="22" t="s">
        <v>102</v>
      </c>
      <c r="C136" s="37">
        <f>3+4+1+1+3+1+1+1</f>
        <v>15</v>
      </c>
      <c r="D136" s="37">
        <f>3+2+1+2+1+1+1+2+1+1</f>
        <v>15</v>
      </c>
      <c r="E136" s="37">
        <f>5+1+1+1+1+1+3+1+2+1+1</f>
        <v>18</v>
      </c>
      <c r="F136" s="38">
        <v>43236</v>
      </c>
      <c r="G136" s="113">
        <f aca="true" t="shared" si="16" ref="G136:G145">E136/D136</f>
        <v>1.2</v>
      </c>
      <c r="H136" s="34">
        <f aca="true" t="shared" si="17" ref="H136:H144">E136-D136</f>
        <v>3</v>
      </c>
    </row>
    <row r="137" spans="1:8" ht="15.75">
      <c r="A137" s="18">
        <v>222</v>
      </c>
      <c r="B137" s="22" t="s">
        <v>103</v>
      </c>
      <c r="C137" s="31">
        <f>5+1</f>
        <v>6</v>
      </c>
      <c r="D137" s="95">
        <f>5</f>
        <v>5</v>
      </c>
      <c r="E137" s="100">
        <f>3+2</f>
        <v>5</v>
      </c>
      <c r="F137" s="58">
        <v>43075</v>
      </c>
      <c r="G137" s="113">
        <f t="shared" si="16"/>
        <v>1</v>
      </c>
      <c r="H137" s="34">
        <f t="shared" si="17"/>
        <v>0</v>
      </c>
    </row>
    <row r="138" spans="1:8" ht="15.75">
      <c r="A138" s="18">
        <v>228</v>
      </c>
      <c r="B138" s="67" t="s">
        <v>130</v>
      </c>
      <c r="C138" s="31">
        <f>5+6+2+2+2+2+1+4+2</f>
        <v>26</v>
      </c>
      <c r="D138" s="31">
        <f>8+1+1+1+2+2+3+2+1+1+1+2+1+1+2+4+2</f>
        <v>35</v>
      </c>
      <c r="E138" s="31">
        <f>11+6+2+4+4+3+1</f>
        <v>31</v>
      </c>
      <c r="F138" s="79">
        <v>43202</v>
      </c>
      <c r="G138" s="33">
        <f t="shared" si="16"/>
        <v>0.8857142857142857</v>
      </c>
      <c r="H138" s="34">
        <f t="shared" si="17"/>
        <v>-4</v>
      </c>
    </row>
    <row r="139" spans="1:9" ht="15.75">
      <c r="A139" s="18">
        <v>302</v>
      </c>
      <c r="B139" s="22" t="s">
        <v>104</v>
      </c>
      <c r="C139" s="31">
        <f>37</f>
        <v>37</v>
      </c>
      <c r="D139" s="31">
        <f>55+5</f>
        <v>60</v>
      </c>
      <c r="E139" s="100">
        <f>13+6+5+3+3+1+1+1+1+1</f>
        <v>35</v>
      </c>
      <c r="F139" s="24">
        <v>43615</v>
      </c>
      <c r="G139" s="33">
        <f t="shared" si="16"/>
        <v>0.5833333333333334</v>
      </c>
      <c r="H139" s="34">
        <f t="shared" si="17"/>
        <v>-25</v>
      </c>
      <c r="I139" s="29"/>
    </row>
    <row r="140" spans="1:8" ht="15.75">
      <c r="A140" s="18">
        <v>303</v>
      </c>
      <c r="B140" s="22" t="s">
        <v>30</v>
      </c>
      <c r="C140" s="31">
        <f>4+2+3</f>
        <v>9</v>
      </c>
      <c r="D140" s="31">
        <f>13+1+1+1</f>
        <v>16</v>
      </c>
      <c r="E140" s="100">
        <f>15+1</f>
        <v>16</v>
      </c>
      <c r="F140" s="24">
        <v>43222</v>
      </c>
      <c r="G140" s="113">
        <f t="shared" si="16"/>
        <v>1</v>
      </c>
      <c r="H140" s="34">
        <f t="shared" si="17"/>
        <v>0</v>
      </c>
    </row>
    <row r="141" spans="1:8" ht="15.75">
      <c r="A141" s="18">
        <v>311</v>
      </c>
      <c r="B141" s="22" t="s">
        <v>105</v>
      </c>
      <c r="C141" s="31">
        <f>15+6+2</f>
        <v>23</v>
      </c>
      <c r="D141" s="31">
        <f>10+15</f>
        <v>25</v>
      </c>
      <c r="E141" s="117">
        <v>28</v>
      </c>
      <c r="F141" s="24">
        <v>43160</v>
      </c>
      <c r="G141" s="113">
        <f t="shared" si="16"/>
        <v>1.12</v>
      </c>
      <c r="H141" s="34">
        <f t="shared" si="17"/>
        <v>3</v>
      </c>
    </row>
    <row r="142" spans="1:8" ht="15.75">
      <c r="A142" s="18">
        <v>312</v>
      </c>
      <c r="B142" s="22" t="s">
        <v>106</v>
      </c>
      <c r="C142" s="31">
        <f>12+3+11+2+4+3+2+2+3+1+1</f>
        <v>44</v>
      </c>
      <c r="D142" s="31">
        <f>7+12+2+3+2+2+2+4+4+1+4+1+1</f>
        <v>45</v>
      </c>
      <c r="E142" s="101">
        <f>11+4+3+1+4+2+4+1+1+2</f>
        <v>33</v>
      </c>
      <c r="F142" s="24">
        <v>43277</v>
      </c>
      <c r="G142" s="33">
        <f t="shared" si="16"/>
        <v>0.7333333333333333</v>
      </c>
      <c r="H142" s="34">
        <f t="shared" si="17"/>
        <v>-12</v>
      </c>
    </row>
    <row r="143" spans="1:8" ht="15.75">
      <c r="A143" s="18">
        <v>314</v>
      </c>
      <c r="B143" s="22" t="s">
        <v>107</v>
      </c>
      <c r="C143" s="31">
        <f>18+14+13</f>
        <v>45</v>
      </c>
      <c r="D143" s="95">
        <f>9+5+15+13+3+2</f>
        <v>47</v>
      </c>
      <c r="E143" s="102">
        <f>13+15</f>
        <v>28</v>
      </c>
      <c r="F143" s="24">
        <v>43075</v>
      </c>
      <c r="G143" s="33">
        <f t="shared" si="16"/>
        <v>0.5957446808510638</v>
      </c>
      <c r="H143" s="34">
        <f t="shared" si="17"/>
        <v>-19</v>
      </c>
    </row>
    <row r="144" spans="1:8" ht="16.5" thickBot="1">
      <c r="A144" s="18">
        <v>405</v>
      </c>
      <c r="B144" s="22" t="s">
        <v>122</v>
      </c>
      <c r="C144" s="52">
        <f>25+2</f>
        <v>27</v>
      </c>
      <c r="D144" s="52">
        <f>27</f>
        <v>27</v>
      </c>
      <c r="E144" s="52">
        <f>30</f>
        <v>30</v>
      </c>
      <c r="F144" s="53">
        <v>43047</v>
      </c>
      <c r="G144" s="114">
        <f t="shared" si="16"/>
        <v>1.1111111111111112</v>
      </c>
      <c r="H144" s="42">
        <f t="shared" si="17"/>
        <v>3</v>
      </c>
    </row>
    <row r="145" spans="1:8" s="56" customFormat="1" ht="15.75">
      <c r="A145" s="18"/>
      <c r="B145" s="22" t="s">
        <v>7</v>
      </c>
      <c r="C145" s="46">
        <f>SUM(C136:C144)</f>
        <v>232</v>
      </c>
      <c r="D145" s="46">
        <f>SUM(D136:D144)</f>
        <v>275</v>
      </c>
      <c r="E145" s="46">
        <f>SUM(E136:E144)</f>
        <v>224</v>
      </c>
      <c r="F145" s="49"/>
      <c r="G145" s="29">
        <f t="shared" si="16"/>
        <v>0.8145454545454546</v>
      </c>
      <c r="H145" s="63">
        <f>E145-D145</f>
        <v>-51</v>
      </c>
    </row>
    <row r="146" spans="1:8" ht="15.75">
      <c r="A146" s="18"/>
      <c r="B146" s="22"/>
      <c r="C146" s="15"/>
      <c r="D146" s="15"/>
      <c r="E146" s="15"/>
      <c r="F146" s="25"/>
      <c r="G146" s="26"/>
      <c r="H146" s="13"/>
    </row>
    <row r="147" spans="1:8" ht="15.75">
      <c r="A147" s="18"/>
      <c r="B147" s="22"/>
      <c r="C147" s="15"/>
      <c r="D147" s="15"/>
      <c r="E147" s="15"/>
      <c r="F147" s="20" t="s">
        <v>22</v>
      </c>
      <c r="G147" s="18"/>
      <c r="H147" s="19" t="s">
        <v>2</v>
      </c>
    </row>
    <row r="148" spans="1:8" ht="16.5" thickBot="1">
      <c r="A148" s="18"/>
      <c r="B148" s="22" t="s">
        <v>19</v>
      </c>
      <c r="C148" s="40">
        <v>2016</v>
      </c>
      <c r="D148" s="40">
        <v>2017</v>
      </c>
      <c r="E148" s="121">
        <v>2018</v>
      </c>
      <c r="F148" s="44" t="s">
        <v>34</v>
      </c>
      <c r="G148" s="40" t="s">
        <v>1</v>
      </c>
      <c r="H148" s="41">
        <v>1</v>
      </c>
    </row>
    <row r="149" spans="1:8" ht="15.75">
      <c r="A149" s="18">
        <v>22</v>
      </c>
      <c r="B149" s="22" t="s">
        <v>108</v>
      </c>
      <c r="C149" s="68">
        <f>24+11+5+1</f>
        <v>41</v>
      </c>
      <c r="D149" s="68">
        <f>12+12+11</f>
        <v>35</v>
      </c>
      <c r="E149" s="68">
        <f>20+11+6+6+5+1+1</f>
        <v>50</v>
      </c>
      <c r="F149" s="58">
        <v>43305</v>
      </c>
      <c r="G149" s="113">
        <f aca="true" t="shared" si="18" ref="G149:G162">E149/D149</f>
        <v>1.4285714285714286</v>
      </c>
      <c r="H149" s="34">
        <f aca="true" t="shared" si="19" ref="H149:H161">E149-D149</f>
        <v>15</v>
      </c>
    </row>
    <row r="150" spans="1:254" ht="15.75">
      <c r="A150" s="18">
        <v>40</v>
      </c>
      <c r="B150" s="22" t="s">
        <v>109</v>
      </c>
      <c r="C150" s="69">
        <f>25+14+15+18+29+19+22+18+25+27+2+12+9+3+2</f>
        <v>240</v>
      </c>
      <c r="D150" s="69">
        <f>15+5+17+10+55+46+33+28+2+6+1+2</f>
        <v>220</v>
      </c>
      <c r="E150" s="105">
        <f>43+15+11+53+3+5+2+6+20+4+6+27+9+1+2+3+5+1+2</f>
        <v>218</v>
      </c>
      <c r="F150" s="24">
        <v>43402</v>
      </c>
      <c r="G150" s="33">
        <f t="shared" si="18"/>
        <v>0.990909090909091</v>
      </c>
      <c r="H150" s="34">
        <f t="shared" si="19"/>
        <v>-2</v>
      </c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3"/>
      <c r="DQ150" s="43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</row>
    <row r="151" spans="1:8" ht="15.75">
      <c r="A151" s="18">
        <v>64</v>
      </c>
      <c r="B151" s="22" t="s">
        <v>110</v>
      </c>
      <c r="C151" s="69">
        <f>15+7+2+2+1+1</f>
        <v>28</v>
      </c>
      <c r="D151" s="69">
        <f>14+6+1+2+1+1+1+1</f>
        <v>27</v>
      </c>
      <c r="E151" s="110">
        <f>16+8+1+2+1+1+1+1</f>
        <v>31</v>
      </c>
      <c r="F151" s="24">
        <v>43256</v>
      </c>
      <c r="G151" s="113">
        <f t="shared" si="18"/>
        <v>1.1481481481481481</v>
      </c>
      <c r="H151" s="34">
        <f t="shared" si="19"/>
        <v>4</v>
      </c>
    </row>
    <row r="152" spans="1:8" ht="15.75">
      <c r="A152" s="18">
        <v>82</v>
      </c>
      <c r="B152" s="22" t="s">
        <v>31</v>
      </c>
      <c r="C152" s="69">
        <f>38+12</f>
        <v>50</v>
      </c>
      <c r="D152" s="69">
        <f>24+17+14+4+2+2+2</f>
        <v>65</v>
      </c>
      <c r="E152" s="105">
        <f>14+24+19+8+1</f>
        <v>66</v>
      </c>
      <c r="F152" s="24">
        <v>43405</v>
      </c>
      <c r="G152" s="113">
        <f t="shared" si="18"/>
        <v>1.0153846153846153</v>
      </c>
      <c r="H152" s="34">
        <f t="shared" si="19"/>
        <v>1</v>
      </c>
    </row>
    <row r="153" spans="1:8" ht="15.75">
      <c r="A153" s="18">
        <v>88</v>
      </c>
      <c r="B153" s="22" t="s">
        <v>111</v>
      </c>
      <c r="C153" s="69">
        <f>17+1</f>
        <v>18</v>
      </c>
      <c r="D153" s="69">
        <v>15</v>
      </c>
      <c r="E153" s="105">
        <f>15</f>
        <v>15</v>
      </c>
      <c r="F153" s="45">
        <v>42947</v>
      </c>
      <c r="G153" s="113">
        <f t="shared" si="18"/>
        <v>1</v>
      </c>
      <c r="H153" s="34">
        <f t="shared" si="19"/>
        <v>0</v>
      </c>
    </row>
    <row r="154" spans="1:8" ht="15.75">
      <c r="A154" s="18">
        <v>112</v>
      </c>
      <c r="B154" s="22" t="s">
        <v>112</v>
      </c>
      <c r="C154" s="69">
        <f>9+4+4+1+7+5+2+2</f>
        <v>34</v>
      </c>
      <c r="D154" s="69">
        <f>20+16</f>
        <v>36</v>
      </c>
      <c r="E154" s="105">
        <f>15+13+7+2</f>
        <v>37</v>
      </c>
      <c r="F154" s="24">
        <v>43382</v>
      </c>
      <c r="G154" s="127">
        <f t="shared" si="18"/>
        <v>1.0277777777777777</v>
      </c>
      <c r="H154" s="34">
        <f t="shared" si="19"/>
        <v>1</v>
      </c>
    </row>
    <row r="155" spans="1:8" ht="15.75">
      <c r="A155" s="18">
        <v>149</v>
      </c>
      <c r="B155" s="22" t="s">
        <v>32</v>
      </c>
      <c r="C155" s="69">
        <f>11+10+13+4+2+2+1+2+1+2+1+1</f>
        <v>50</v>
      </c>
      <c r="D155" s="69">
        <f>2+56+3</f>
        <v>61</v>
      </c>
      <c r="E155" s="105">
        <f>22+10+5+4</f>
        <v>41</v>
      </c>
      <c r="F155" s="24">
        <v>43229</v>
      </c>
      <c r="G155" s="33">
        <f t="shared" si="18"/>
        <v>0.6721311475409836</v>
      </c>
      <c r="H155" s="34">
        <f t="shared" si="19"/>
        <v>-20</v>
      </c>
    </row>
    <row r="156" spans="1:8" ht="15.75">
      <c r="A156" s="18">
        <v>188</v>
      </c>
      <c r="B156" s="22" t="s">
        <v>113</v>
      </c>
      <c r="C156" s="69">
        <f>3+11+24+24+22+21+5</f>
        <v>110</v>
      </c>
      <c r="D156" s="69">
        <f>24+24+23+24+20+13+3</f>
        <v>131</v>
      </c>
      <c r="E156" s="105">
        <f>18+24+23+24+24+24+9+2</f>
        <v>148</v>
      </c>
      <c r="F156" s="24">
        <v>43418</v>
      </c>
      <c r="G156" s="113">
        <f t="shared" si="18"/>
        <v>1.1297709923664123</v>
      </c>
      <c r="H156" s="34">
        <f t="shared" si="19"/>
        <v>17</v>
      </c>
    </row>
    <row r="157" spans="1:8" ht="15.75">
      <c r="A157" s="18">
        <v>192</v>
      </c>
      <c r="B157" s="22" t="s">
        <v>114</v>
      </c>
      <c r="C157" s="69">
        <f>6</f>
        <v>6</v>
      </c>
      <c r="D157" s="69">
        <f>6</f>
        <v>6</v>
      </c>
      <c r="E157" s="105">
        <f>3+1+2</f>
        <v>6</v>
      </c>
      <c r="F157" s="24">
        <v>43171</v>
      </c>
      <c r="G157" s="113">
        <f t="shared" si="18"/>
        <v>1</v>
      </c>
      <c r="H157" s="34">
        <f t="shared" si="19"/>
        <v>0</v>
      </c>
    </row>
    <row r="158" spans="1:8" ht="15.75">
      <c r="A158" s="18">
        <v>220</v>
      </c>
      <c r="B158" s="22" t="s">
        <v>115</v>
      </c>
      <c r="C158" s="69">
        <f>8</f>
        <v>8</v>
      </c>
      <c r="D158" s="69">
        <f>8</f>
        <v>8</v>
      </c>
      <c r="E158" s="105">
        <f>7</f>
        <v>7</v>
      </c>
      <c r="F158" s="24">
        <v>43021</v>
      </c>
      <c r="G158" s="33">
        <f t="shared" si="18"/>
        <v>0.875</v>
      </c>
      <c r="H158" s="34">
        <f t="shared" si="19"/>
        <v>-1</v>
      </c>
    </row>
    <row r="159" spans="1:8" ht="15.75">
      <c r="A159" s="18">
        <v>226</v>
      </c>
      <c r="B159" s="22" t="s">
        <v>116</v>
      </c>
      <c r="C159" s="69">
        <f>34+8</f>
        <v>42</v>
      </c>
      <c r="D159" s="69">
        <f>24+8+5+1</f>
        <v>38</v>
      </c>
      <c r="E159" s="105">
        <f>3+3+2+5+3+2+1+1+1+2+1</f>
        <v>24</v>
      </c>
      <c r="F159" s="24">
        <v>43214</v>
      </c>
      <c r="G159" s="33">
        <f t="shared" si="18"/>
        <v>0.631578947368421</v>
      </c>
      <c r="H159" s="34">
        <f t="shared" si="19"/>
        <v>-14</v>
      </c>
    </row>
    <row r="160" spans="1:8" ht="15.75">
      <c r="A160" s="18">
        <v>257</v>
      </c>
      <c r="B160" s="22" t="s">
        <v>117</v>
      </c>
      <c r="C160" s="69">
        <f>1+7+2+1+1</f>
        <v>12</v>
      </c>
      <c r="D160" s="98">
        <f>4+3+1+2+1</f>
        <v>11</v>
      </c>
      <c r="E160" s="98">
        <f>3+3+6+1</f>
        <v>13</v>
      </c>
      <c r="F160" s="24">
        <v>43187</v>
      </c>
      <c r="G160" s="113">
        <f t="shared" si="18"/>
        <v>1.1818181818181819</v>
      </c>
      <c r="H160" s="34">
        <f t="shared" si="19"/>
        <v>2</v>
      </c>
    </row>
    <row r="161" spans="1:254" ht="15" customHeight="1" thickBot="1">
      <c r="A161" s="18">
        <v>387</v>
      </c>
      <c r="B161" s="22" t="s">
        <v>118</v>
      </c>
      <c r="C161" s="52">
        <f>26+1</f>
        <v>27</v>
      </c>
      <c r="D161" s="52">
        <f>13+11</f>
        <v>24</v>
      </c>
      <c r="E161" s="52">
        <f>14+5+3+1</f>
        <v>23</v>
      </c>
      <c r="F161" s="53">
        <v>43279</v>
      </c>
      <c r="G161" s="36">
        <f t="shared" si="18"/>
        <v>0.9583333333333334</v>
      </c>
      <c r="H161" s="42">
        <f t="shared" si="19"/>
        <v>-1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</row>
    <row r="162" spans="1:8" s="56" customFormat="1" ht="15.75">
      <c r="A162" s="18" t="s">
        <v>0</v>
      </c>
      <c r="B162" s="22" t="s">
        <v>7</v>
      </c>
      <c r="C162" s="46">
        <f>SUM(C149:C161)</f>
        <v>666</v>
      </c>
      <c r="D162" s="46">
        <f>SUM(D149:D161)</f>
        <v>677</v>
      </c>
      <c r="E162" s="46">
        <f>SUM(E149:E161)</f>
        <v>679</v>
      </c>
      <c r="F162" s="49"/>
      <c r="G162" s="29">
        <f t="shared" si="18"/>
        <v>1.0029542097488922</v>
      </c>
      <c r="H162" s="63">
        <f>E162-D162</f>
        <v>2</v>
      </c>
    </row>
    <row r="163" spans="1:8" ht="15.75">
      <c r="A163" s="18"/>
      <c r="B163" s="22"/>
      <c r="C163" s="19"/>
      <c r="D163" s="19"/>
      <c r="E163" s="19"/>
      <c r="F163" s="20" t="s">
        <v>0</v>
      </c>
      <c r="G163" s="27"/>
      <c r="H163" s="13" t="s">
        <v>0</v>
      </c>
    </row>
    <row r="164" spans="1:8" ht="15.75">
      <c r="A164" s="18"/>
      <c r="B164" s="66" t="s">
        <v>140</v>
      </c>
      <c r="C164" s="15"/>
      <c r="D164" s="15"/>
      <c r="E164" s="15"/>
      <c r="F164" s="16"/>
      <c r="G164" s="13"/>
      <c r="H164" s="13"/>
    </row>
    <row r="165" spans="1:8" ht="16.5" thickBot="1">
      <c r="A165" s="18"/>
      <c r="B165" s="19" t="s">
        <v>33</v>
      </c>
      <c r="C165" s="40">
        <v>2016</v>
      </c>
      <c r="D165" s="46">
        <v>2017</v>
      </c>
      <c r="E165" s="19">
        <v>2018</v>
      </c>
      <c r="F165" s="20" t="s">
        <v>1</v>
      </c>
      <c r="G165" s="41">
        <v>1</v>
      </c>
      <c r="H165" s="13"/>
    </row>
    <row r="166" spans="1:8" ht="15.75">
      <c r="A166" s="18"/>
      <c r="B166" s="19">
        <v>1</v>
      </c>
      <c r="C166" s="50">
        <f>SUM(C12)</f>
        <v>193</v>
      </c>
      <c r="D166" s="50">
        <f>SUM(D12)</f>
        <v>191</v>
      </c>
      <c r="E166" s="50">
        <f>SUM(E12)</f>
        <v>189</v>
      </c>
      <c r="F166" s="60">
        <f>E166/D166</f>
        <v>0.9895287958115183</v>
      </c>
      <c r="G166" s="72">
        <f>E166-D166</f>
        <v>-2</v>
      </c>
      <c r="H166" s="30"/>
    </row>
    <row r="167" spans="1:8" ht="15.75">
      <c r="A167" s="18"/>
      <c r="B167" s="19">
        <v>2</v>
      </c>
      <c r="C167" s="23">
        <f>SUM(C23)</f>
        <v>247</v>
      </c>
      <c r="D167" s="23">
        <f>SUM(D23)</f>
        <v>245</v>
      </c>
      <c r="E167" s="23">
        <f>SUM(E23)</f>
        <v>270</v>
      </c>
      <c r="F167" s="118">
        <f aca="true" t="shared" si="20" ref="F167:F176">E167/D167</f>
        <v>1.1020408163265305</v>
      </c>
      <c r="G167" s="72">
        <f aca="true" t="shared" si="21" ref="G167:G176">E167-D167</f>
        <v>25</v>
      </c>
      <c r="H167" s="30"/>
    </row>
    <row r="168" spans="1:8" ht="15.75">
      <c r="A168" s="18"/>
      <c r="B168" s="19">
        <v>3</v>
      </c>
      <c r="C168" s="23">
        <f>SUM(C34)</f>
        <v>392</v>
      </c>
      <c r="D168" s="23">
        <f>SUM(D34)</f>
        <v>423</v>
      </c>
      <c r="E168" s="23">
        <f>SUM(E34)</f>
        <v>447</v>
      </c>
      <c r="F168" s="118">
        <f t="shared" si="20"/>
        <v>1.0567375886524824</v>
      </c>
      <c r="G168" s="72">
        <f t="shared" si="21"/>
        <v>24</v>
      </c>
      <c r="H168" s="30"/>
    </row>
    <row r="169" spans="1:8" ht="15.75">
      <c r="A169" s="18"/>
      <c r="B169" s="19">
        <v>4</v>
      </c>
      <c r="C169" s="23">
        <f>SUM(C59)</f>
        <v>1046</v>
      </c>
      <c r="D169" s="23">
        <f>SUM(D59)</f>
        <v>1094</v>
      </c>
      <c r="E169" s="23">
        <f>SUM(E59)</f>
        <v>1092</v>
      </c>
      <c r="F169" s="106">
        <f t="shared" si="20"/>
        <v>0.9981718464351006</v>
      </c>
      <c r="G169" s="72">
        <f t="shared" si="21"/>
        <v>-2</v>
      </c>
      <c r="H169" s="30"/>
    </row>
    <row r="170" spans="1:8" ht="15.75">
      <c r="A170" s="18"/>
      <c r="B170" s="19">
        <v>5</v>
      </c>
      <c r="C170" s="23">
        <f>SUM(C90)</f>
        <v>1514</v>
      </c>
      <c r="D170" s="23">
        <f>SUM(D90)</f>
        <v>1481</v>
      </c>
      <c r="E170" s="23">
        <f>SUM(E90)</f>
        <v>1281</v>
      </c>
      <c r="F170" s="61">
        <f t="shared" si="20"/>
        <v>0.8649561107359892</v>
      </c>
      <c r="G170" s="72">
        <f t="shared" si="21"/>
        <v>-200</v>
      </c>
      <c r="H170" s="30"/>
    </row>
    <row r="171" spans="1:8" ht="15.75">
      <c r="A171" s="18"/>
      <c r="B171" s="19">
        <v>6</v>
      </c>
      <c r="C171" s="23">
        <f>SUM(C109)</f>
        <v>933</v>
      </c>
      <c r="D171" s="23">
        <f>SUM(D109)</f>
        <v>834</v>
      </c>
      <c r="E171" s="23">
        <f>SUM(E109)</f>
        <v>792</v>
      </c>
      <c r="F171" s="61">
        <f t="shared" si="20"/>
        <v>0.9496402877697842</v>
      </c>
      <c r="G171" s="72">
        <f t="shared" si="21"/>
        <v>-42</v>
      </c>
      <c r="H171" s="30"/>
    </row>
    <row r="172" spans="1:8" ht="15.75">
      <c r="A172" s="18"/>
      <c r="B172" s="19">
        <v>7</v>
      </c>
      <c r="C172" s="23">
        <f>SUM(C119)</f>
        <v>109</v>
      </c>
      <c r="D172" s="23">
        <f>SUM(D119)</f>
        <v>111</v>
      </c>
      <c r="E172" s="23">
        <f>SUM(E119)</f>
        <v>122</v>
      </c>
      <c r="F172" s="61">
        <f t="shared" si="20"/>
        <v>1.0990990990990992</v>
      </c>
      <c r="G172" s="72">
        <f t="shared" si="21"/>
        <v>11</v>
      </c>
      <c r="H172" s="30"/>
    </row>
    <row r="173" spans="1:8" ht="15.75">
      <c r="A173" s="18"/>
      <c r="B173" s="19">
        <v>8</v>
      </c>
      <c r="C173" s="23">
        <f>SUM(C132)</f>
        <v>431</v>
      </c>
      <c r="D173" s="23">
        <f>SUM(D132)</f>
        <v>449</v>
      </c>
      <c r="E173" s="23">
        <f>SUM(E132)</f>
        <v>443</v>
      </c>
      <c r="F173" s="61">
        <f t="shared" si="20"/>
        <v>0.9866369710467706</v>
      </c>
      <c r="G173" s="72">
        <f t="shared" si="21"/>
        <v>-6</v>
      </c>
      <c r="H173" s="30"/>
    </row>
    <row r="174" spans="1:8" ht="15.75">
      <c r="A174" s="18"/>
      <c r="B174" s="19">
        <v>9</v>
      </c>
      <c r="C174" s="71">
        <f>SUM(C145)</f>
        <v>232</v>
      </c>
      <c r="D174" s="71">
        <f>SUM(D145)</f>
        <v>275</v>
      </c>
      <c r="E174" s="71">
        <f>SUM(E145)</f>
        <v>224</v>
      </c>
      <c r="F174" s="61">
        <f t="shared" si="20"/>
        <v>0.8145454545454546</v>
      </c>
      <c r="G174" s="72">
        <f t="shared" si="21"/>
        <v>-51</v>
      </c>
      <c r="H174" s="30"/>
    </row>
    <row r="175" spans="1:8" ht="16.5" thickBot="1">
      <c r="A175" s="18"/>
      <c r="B175" s="19">
        <v>10</v>
      </c>
      <c r="C175" s="52">
        <f>SUM(C162)</f>
        <v>666</v>
      </c>
      <c r="D175" s="52">
        <f>SUM(D162)</f>
        <v>677</v>
      </c>
      <c r="E175" s="52">
        <f>SUM(E162)</f>
        <v>679</v>
      </c>
      <c r="F175" s="107">
        <f t="shared" si="20"/>
        <v>1.0029542097488922</v>
      </c>
      <c r="G175" s="108">
        <f t="shared" si="21"/>
        <v>2</v>
      </c>
      <c r="H175" s="30"/>
    </row>
    <row r="176" spans="1:8" s="56" customFormat="1" ht="15.75">
      <c r="A176" s="18"/>
      <c r="B176" s="22" t="s">
        <v>20</v>
      </c>
      <c r="C176" s="46">
        <f>SUM(C166:C175)</f>
        <v>5763</v>
      </c>
      <c r="D176" s="46">
        <f>SUM(D166:D175)</f>
        <v>5780</v>
      </c>
      <c r="E176" s="46">
        <f>SUM(E166:E175)</f>
        <v>5539</v>
      </c>
      <c r="F176" s="29">
        <f t="shared" si="20"/>
        <v>0.9583044982698962</v>
      </c>
      <c r="G176" s="109">
        <f t="shared" si="21"/>
        <v>-241</v>
      </c>
      <c r="H176" s="18"/>
    </row>
    <row r="177" spans="1:8" s="56" customFormat="1" ht="15.75">
      <c r="A177" s="18"/>
      <c r="B177" s="22"/>
      <c r="C177" s="46"/>
      <c r="D177" s="46"/>
      <c r="E177" s="46"/>
      <c r="F177" s="62"/>
      <c r="G177" s="63"/>
      <c r="H177" s="18"/>
    </row>
    <row r="178" spans="1:8" ht="15.75">
      <c r="A178" s="18"/>
      <c r="B178" s="73" t="s">
        <v>129</v>
      </c>
      <c r="C178" s="54"/>
      <c r="D178" s="54"/>
      <c r="E178" s="54"/>
      <c r="F178" s="54"/>
      <c r="G178" s="54"/>
      <c r="H178" s="73"/>
    </row>
    <row r="179" spans="1:8" ht="18">
      <c r="A179" s="65"/>
      <c r="B179" s="323" t="s">
        <v>141</v>
      </c>
      <c r="C179" s="323"/>
      <c r="D179" s="323"/>
      <c r="E179" s="323"/>
      <c r="F179" s="323"/>
      <c r="G179" s="1" t="s">
        <v>0</v>
      </c>
      <c r="H179" s="1" t="s">
        <v>0</v>
      </c>
    </row>
    <row r="180" spans="1:8" ht="18">
      <c r="A180" s="65"/>
      <c r="B180" s="73" t="s">
        <v>142</v>
      </c>
      <c r="C180" s="74"/>
      <c r="D180" s="74"/>
      <c r="E180" s="74"/>
      <c r="F180" s="76"/>
      <c r="G180" s="75"/>
      <c r="H180" s="77"/>
    </row>
    <row r="181" spans="1:8" ht="15.75">
      <c r="A181" s="18"/>
      <c r="B181" s="1" t="s">
        <v>0</v>
      </c>
      <c r="C181" s="74"/>
      <c r="D181" s="74"/>
      <c r="E181" s="74"/>
      <c r="F181" s="78"/>
      <c r="G181" s="75"/>
      <c r="H181" s="75"/>
    </row>
    <row r="182" spans="1:8" ht="15.75">
      <c r="A182" s="18"/>
      <c r="B182" s="19"/>
      <c r="C182" s="2"/>
      <c r="D182" s="2"/>
      <c r="E182" s="2"/>
      <c r="F182" s="8"/>
      <c r="G182" s="7"/>
      <c r="H182" s="7"/>
    </row>
    <row r="183" spans="1:8" ht="15.75">
      <c r="A183" s="18"/>
      <c r="B183" s="19"/>
      <c r="C183" s="2"/>
      <c r="D183" s="2"/>
      <c r="E183" s="2"/>
      <c r="F183" s="8"/>
      <c r="G183" s="7"/>
      <c r="H183" s="7"/>
    </row>
    <row r="184" spans="1:8" ht="15.75">
      <c r="A184" s="18"/>
      <c r="B184" s="22"/>
      <c r="C184" s="5"/>
      <c r="D184" s="5"/>
      <c r="E184" s="5"/>
      <c r="F184" s="8"/>
      <c r="G184" s="7"/>
      <c r="H184" s="9"/>
    </row>
    <row r="185" spans="1:8" ht="15.75">
      <c r="A185" s="18"/>
      <c r="B185" s="22"/>
      <c r="C185" s="2"/>
      <c r="D185" s="2"/>
      <c r="E185" s="2"/>
      <c r="F185" s="11"/>
      <c r="G185" s="12"/>
      <c r="H185" s="10"/>
    </row>
    <row r="186" spans="1:8" ht="15.75">
      <c r="A186" s="18"/>
      <c r="B186" s="22"/>
      <c r="C186" s="2"/>
      <c r="D186" s="2"/>
      <c r="E186" s="2"/>
      <c r="F186" s="11"/>
      <c r="G186" s="12"/>
      <c r="H186" s="10"/>
    </row>
    <row r="187" spans="1:8" ht="15.75">
      <c r="A187" s="18"/>
      <c r="B187" s="22"/>
      <c r="C187" s="2"/>
      <c r="D187" s="2"/>
      <c r="E187" s="2"/>
      <c r="F187" s="11"/>
      <c r="G187" s="12"/>
      <c r="H187" s="10"/>
    </row>
    <row r="188" spans="1:8" ht="15.75">
      <c r="A188" s="18"/>
      <c r="B188" s="22"/>
      <c r="C188" s="2"/>
      <c r="D188" s="2"/>
      <c r="E188" s="2"/>
      <c r="F188" s="11"/>
      <c r="G188" s="12"/>
      <c r="H188" s="10"/>
    </row>
    <row r="189" spans="1:8" ht="15.75">
      <c r="A189" s="18"/>
      <c r="B189" s="22"/>
      <c r="C189" s="2"/>
      <c r="D189" s="2"/>
      <c r="E189" s="2"/>
      <c r="F189" s="11"/>
      <c r="G189" s="12"/>
      <c r="H189" s="10"/>
    </row>
    <row r="190" spans="1:8" ht="15.75">
      <c r="A190" s="18"/>
      <c r="B190" s="22"/>
      <c r="C190" s="2"/>
      <c r="D190" s="2"/>
      <c r="E190" s="2"/>
      <c r="F190" s="11"/>
      <c r="G190" s="12"/>
      <c r="H190" s="10"/>
    </row>
    <row r="191" spans="1:8" ht="15.75">
      <c r="A191" s="18"/>
      <c r="B191" s="22"/>
      <c r="C191" s="2"/>
      <c r="D191" s="2"/>
      <c r="E191" s="2"/>
      <c r="F191" s="11"/>
      <c r="G191" s="12"/>
      <c r="H191" s="10"/>
    </row>
    <row r="192" spans="1:8" ht="15.75">
      <c r="A192" s="18"/>
      <c r="B192" s="22"/>
      <c r="C192" s="2"/>
      <c r="D192" s="2"/>
      <c r="E192" s="2"/>
      <c r="F192" s="11"/>
      <c r="G192" s="12"/>
      <c r="H192" s="10"/>
    </row>
    <row r="193" spans="1:8" ht="15.75">
      <c r="A193" s="18"/>
      <c r="B193" s="22"/>
      <c r="C193" s="2"/>
      <c r="D193" s="2"/>
      <c r="E193" s="2"/>
      <c r="F193" s="11"/>
      <c r="G193" s="12"/>
      <c r="H193" s="10"/>
    </row>
    <row r="194" spans="1:8" ht="15.75">
      <c r="A194" s="18"/>
      <c r="B194" s="22"/>
      <c r="C194" s="2"/>
      <c r="D194" s="2"/>
      <c r="E194" s="2"/>
      <c r="F194" s="11"/>
      <c r="G194" s="12"/>
      <c r="H194" s="10"/>
    </row>
    <row r="195" spans="1:8" ht="15.75">
      <c r="A195" s="18"/>
      <c r="B195" s="22"/>
      <c r="C195" s="2"/>
      <c r="D195" s="2"/>
      <c r="E195" s="2"/>
      <c r="F195" s="11"/>
      <c r="G195" s="12"/>
      <c r="H195" s="10"/>
    </row>
    <row r="196" spans="1:8" ht="15.75">
      <c r="A196" s="18"/>
      <c r="B196" s="22"/>
      <c r="C196" s="2"/>
      <c r="D196" s="2"/>
      <c r="E196" s="2"/>
      <c r="F196" s="11"/>
      <c r="G196" s="12"/>
      <c r="H196" s="10"/>
    </row>
    <row r="197" spans="1:8" ht="15.75">
      <c r="A197" s="18"/>
      <c r="B197" s="22"/>
      <c r="C197" s="2"/>
      <c r="D197" s="2"/>
      <c r="E197" s="2"/>
      <c r="F197" s="11"/>
      <c r="G197" s="12"/>
      <c r="H197" s="10"/>
    </row>
    <row r="198" spans="1:8" ht="15.75">
      <c r="A198" s="18"/>
      <c r="B198" s="22"/>
      <c r="C198" s="2"/>
      <c r="D198" s="2"/>
      <c r="E198" s="2"/>
      <c r="F198" s="11"/>
      <c r="G198" s="12"/>
      <c r="H198" s="10"/>
    </row>
    <row r="199" spans="1:8" ht="15.75">
      <c r="A199" s="18"/>
      <c r="B199" s="22"/>
      <c r="C199" s="2"/>
      <c r="D199" s="2"/>
      <c r="E199" s="2"/>
      <c r="F199" s="11"/>
      <c r="G199" s="12"/>
      <c r="H199" s="10"/>
    </row>
    <row r="200" spans="1:8" ht="15.75">
      <c r="A200" s="18"/>
      <c r="B200" s="22"/>
      <c r="C200" s="3"/>
      <c r="D200" s="3"/>
      <c r="E200" s="3"/>
      <c r="F200" s="11"/>
      <c r="G200" s="12"/>
      <c r="H200" s="10"/>
    </row>
    <row r="201" spans="1:8" ht="15.75">
      <c r="A201" s="18"/>
      <c r="B201" s="22"/>
      <c r="C201" s="2"/>
      <c r="D201" s="2"/>
      <c r="E201" s="2"/>
      <c r="F201" s="11"/>
      <c r="G201" s="12"/>
      <c r="H201" s="10"/>
    </row>
    <row r="202" spans="1:8" ht="15.75">
      <c r="A202" s="18"/>
      <c r="C202" s="2"/>
      <c r="D202" s="2"/>
      <c r="E202" s="2"/>
      <c r="F202" s="6"/>
      <c r="G202" s="4"/>
      <c r="H202" s="4"/>
    </row>
    <row r="203" spans="1:8" ht="15.75">
      <c r="A203" s="18"/>
      <c r="C203" s="2"/>
      <c r="D203" s="2"/>
      <c r="E203" s="2"/>
      <c r="F203" s="6"/>
      <c r="G203" s="4"/>
      <c r="H203" s="4"/>
    </row>
    <row r="204" spans="1:8" ht="15.75">
      <c r="A204" s="18"/>
      <c r="C204" s="2"/>
      <c r="D204" s="2"/>
      <c r="E204" s="2"/>
      <c r="F204" s="6"/>
      <c r="G204" s="4"/>
      <c r="H204" s="4"/>
    </row>
    <row r="205" spans="1:8" ht="15.75">
      <c r="A205" s="18"/>
      <c r="C205" s="2"/>
      <c r="D205" s="2"/>
      <c r="E205" s="2"/>
      <c r="F205" s="6"/>
      <c r="G205" s="4"/>
      <c r="H205" s="4"/>
    </row>
    <row r="206" spans="1:8" ht="15.75">
      <c r="A206" s="18"/>
      <c r="C206" s="2"/>
      <c r="D206" s="2"/>
      <c r="E206" s="2"/>
      <c r="F206" s="6"/>
      <c r="G206" s="4"/>
      <c r="H206" s="4"/>
    </row>
    <row r="207" spans="1:8" ht="15.75">
      <c r="A207" s="18"/>
      <c r="C207" s="2"/>
      <c r="D207" s="2"/>
      <c r="E207" s="2"/>
      <c r="F207" s="6"/>
      <c r="G207" s="4"/>
      <c r="H207" s="4"/>
    </row>
    <row r="208" spans="1:8" ht="15.75">
      <c r="A208" s="18"/>
      <c r="C208" s="2"/>
      <c r="D208" s="2"/>
      <c r="E208" s="2"/>
      <c r="F208" s="6"/>
      <c r="G208" s="4"/>
      <c r="H208" s="4"/>
    </row>
    <row r="209" spans="1:8" ht="15.75">
      <c r="A209" s="18"/>
      <c r="C209" s="2"/>
      <c r="D209" s="2"/>
      <c r="E209" s="2"/>
      <c r="F209" s="6"/>
      <c r="G209" s="4"/>
      <c r="H209" s="4"/>
    </row>
    <row r="210" spans="1:8" ht="15.75">
      <c r="A210" s="18"/>
      <c r="C210" s="2"/>
      <c r="D210" s="2"/>
      <c r="E210" s="2"/>
      <c r="F210" s="6"/>
      <c r="G210" s="4"/>
      <c r="H210" s="4"/>
    </row>
    <row r="211" spans="1:8" ht="15.75">
      <c r="A211" s="18"/>
      <c r="C211" s="2"/>
      <c r="D211" s="2"/>
      <c r="E211" s="2"/>
      <c r="F211" s="6"/>
      <c r="G211" s="4"/>
      <c r="H211" s="4"/>
    </row>
    <row r="212" spans="1:8" ht="15.75">
      <c r="A212" s="18"/>
      <c r="C212" s="2"/>
      <c r="D212" s="2"/>
      <c r="E212" s="2"/>
      <c r="F212" s="6"/>
      <c r="G212" s="4"/>
      <c r="H212" s="4"/>
    </row>
    <row r="213" spans="1:8" ht="15.75">
      <c r="A213" s="18"/>
      <c r="C213" s="2"/>
      <c r="D213" s="2"/>
      <c r="E213" s="2"/>
      <c r="F213" s="6"/>
      <c r="G213" s="4"/>
      <c r="H213" s="4"/>
    </row>
    <row r="214" spans="1:8" ht="15.75">
      <c r="A214" s="18"/>
      <c r="C214" s="2"/>
      <c r="D214" s="2"/>
      <c r="E214" s="2"/>
      <c r="F214" s="6"/>
      <c r="G214" s="4"/>
      <c r="H214" s="4"/>
    </row>
    <row r="215" spans="1:8" ht="15.75">
      <c r="A215" s="18"/>
      <c r="C215" s="2"/>
      <c r="D215" s="2"/>
      <c r="E215" s="2"/>
      <c r="F215" s="6"/>
      <c r="G215" s="4"/>
      <c r="H215" s="4"/>
    </row>
    <row r="216" spans="1:8" ht="15.75">
      <c r="A216" s="18"/>
      <c r="C216" s="2"/>
      <c r="D216" s="2"/>
      <c r="E216" s="2"/>
      <c r="F216" s="6"/>
      <c r="G216" s="4"/>
      <c r="H216" s="4"/>
    </row>
    <row r="217" spans="1:8" ht="15.75">
      <c r="A217" s="18"/>
      <c r="C217" s="2"/>
      <c r="D217" s="2"/>
      <c r="E217" s="2"/>
      <c r="F217" s="6"/>
      <c r="G217" s="4"/>
      <c r="H217" s="4"/>
    </row>
    <row r="218" spans="1:8" ht="15.75">
      <c r="A218" s="18"/>
      <c r="C218" s="2"/>
      <c r="D218" s="2"/>
      <c r="E218" s="2"/>
      <c r="F218" s="6"/>
      <c r="G218" s="4"/>
      <c r="H218" s="4"/>
    </row>
    <row r="219" spans="1:8" ht="15.75">
      <c r="A219" s="18"/>
      <c r="C219" s="2"/>
      <c r="D219" s="2"/>
      <c r="E219" s="2"/>
      <c r="F219" s="6"/>
      <c r="G219" s="4"/>
      <c r="H219" s="4"/>
    </row>
    <row r="220" spans="1:8" ht="15.75">
      <c r="A220" s="18"/>
      <c r="C220" s="2"/>
      <c r="D220" s="2"/>
      <c r="E220" s="2"/>
      <c r="F220" s="6"/>
      <c r="G220" s="4"/>
      <c r="H220" s="4"/>
    </row>
    <row r="221" spans="1:8" ht="15.75">
      <c r="A221" s="18"/>
      <c r="C221" s="2"/>
      <c r="D221" s="2"/>
      <c r="E221" s="2"/>
      <c r="F221" s="6"/>
      <c r="G221" s="4"/>
      <c r="H221" s="4"/>
    </row>
    <row r="222" spans="1:8" ht="15.75">
      <c r="A222" s="18"/>
      <c r="C222" s="2"/>
      <c r="D222" s="2"/>
      <c r="E222" s="2"/>
      <c r="F222" s="6"/>
      <c r="G222" s="4"/>
      <c r="H222" s="4"/>
    </row>
    <row r="223" spans="1:8" ht="15.75">
      <c r="A223" s="18"/>
      <c r="C223" s="2"/>
      <c r="D223" s="2"/>
      <c r="E223" s="2"/>
      <c r="F223" s="6"/>
      <c r="G223" s="4"/>
      <c r="H223" s="4"/>
    </row>
    <row r="224" spans="1:8" ht="15.75">
      <c r="A224" s="18"/>
      <c r="C224" s="2"/>
      <c r="D224" s="2"/>
      <c r="E224" s="2"/>
      <c r="F224" s="6"/>
      <c r="G224" s="4"/>
      <c r="H224" s="4"/>
    </row>
    <row r="225" spans="1:8" ht="15.75">
      <c r="A225" s="18"/>
      <c r="C225" s="2"/>
      <c r="D225" s="2"/>
      <c r="E225" s="2"/>
      <c r="F225" s="6"/>
      <c r="G225" s="4"/>
      <c r="H225" s="4"/>
    </row>
    <row r="226" spans="1:8" ht="15.75">
      <c r="A226" s="18"/>
      <c r="C226" s="2"/>
      <c r="D226" s="2"/>
      <c r="E226" s="2"/>
      <c r="F226" s="6"/>
      <c r="G226" s="4"/>
      <c r="H226" s="4"/>
    </row>
    <row r="227" spans="1:8" ht="15.75">
      <c r="A227" s="18"/>
      <c r="C227" s="2"/>
      <c r="D227" s="2"/>
      <c r="E227" s="2"/>
      <c r="F227" s="6"/>
      <c r="G227" s="4"/>
      <c r="H227" s="4"/>
    </row>
  </sheetData>
  <sheetProtection/>
  <mergeCells count="1">
    <mergeCell ref="B179:F179"/>
  </mergeCells>
  <printOptions horizontalCentered="1"/>
  <pageMargins left="0.7" right="0.7" top="0.56" bottom="0.55" header="0.3" footer="0.3"/>
  <pageSetup horizontalDpi="600" verticalDpi="600" orientation="portrait" scale="70" r:id="rId1"/>
  <rowBreaks count="3" manualBreakCount="3">
    <brk id="59" max="255" man="1"/>
    <brk id="119" max="255" man="1"/>
    <brk id="8203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229"/>
  <sheetViews>
    <sheetView showOutlineSymbols="0" zoomScale="120" zoomScaleNormal="120" zoomScalePageLayoutView="0" workbookViewId="0" topLeftCell="A157">
      <selection activeCell="E170" sqref="E170"/>
    </sheetView>
  </sheetViews>
  <sheetFormatPr defaultColWidth="9.6640625" defaultRowHeight="15"/>
  <cols>
    <col min="1" max="1" width="6.6640625" style="14" customWidth="1"/>
    <col min="2" max="2" width="14.6640625" style="14" customWidth="1"/>
    <col min="3" max="5" width="7.6640625" style="1" customWidth="1"/>
    <col min="6" max="7" width="9.6640625" style="1" customWidth="1"/>
    <col min="8" max="8" width="11.10546875" style="1" customWidth="1"/>
    <col min="9" max="9" width="10.6640625" style="54" customWidth="1"/>
    <col min="10" max="16384" width="9.6640625" style="54" customWidth="1"/>
  </cols>
  <sheetData>
    <row r="1" ht="15.75">
      <c r="A1" s="14" t="s">
        <v>0</v>
      </c>
    </row>
    <row r="2" spans="1:8" ht="15.75">
      <c r="A2" s="18"/>
      <c r="B2" s="14" t="s">
        <v>21</v>
      </c>
      <c r="C2" s="15"/>
      <c r="D2" s="15"/>
      <c r="E2" s="15"/>
      <c r="F2" s="16"/>
      <c r="G2" s="141" t="s">
        <v>23</v>
      </c>
      <c r="H2" s="142">
        <v>43649</v>
      </c>
    </row>
    <row r="3" spans="1:8" ht="15.75">
      <c r="A3" s="18"/>
      <c r="B3" s="66" t="s">
        <v>150</v>
      </c>
      <c r="C3" s="15"/>
      <c r="D3" s="15"/>
      <c r="E3" s="130"/>
      <c r="F3" s="16"/>
      <c r="G3" s="13"/>
      <c r="H3" s="17"/>
    </row>
    <row r="4" spans="1:8" ht="15.75">
      <c r="A4" s="18"/>
      <c r="B4" s="119" t="s">
        <v>152</v>
      </c>
      <c r="C4" s="120"/>
      <c r="D4" s="120"/>
      <c r="E4" s="120"/>
      <c r="F4" s="20"/>
      <c r="G4" s="18"/>
      <c r="H4" s="21"/>
    </row>
    <row r="5" spans="1:8" ht="15.75">
      <c r="A5" s="18"/>
      <c r="B5" s="19"/>
      <c r="C5" s="19"/>
      <c r="D5" s="19"/>
      <c r="E5" s="19"/>
      <c r="F5" s="20" t="s">
        <v>22</v>
      </c>
      <c r="G5" s="18"/>
      <c r="H5" s="19" t="s">
        <v>2</v>
      </c>
    </row>
    <row r="6" spans="1:8" ht="16.5" thickBot="1">
      <c r="A6" s="18"/>
      <c r="B6" s="22" t="s">
        <v>3</v>
      </c>
      <c r="C6" s="19">
        <v>2017</v>
      </c>
      <c r="D6" s="121">
        <v>2018</v>
      </c>
      <c r="E6" s="121">
        <v>2019</v>
      </c>
      <c r="F6" s="20" t="s">
        <v>34</v>
      </c>
      <c r="G6" s="46" t="s">
        <v>1</v>
      </c>
      <c r="H6" s="48">
        <v>1</v>
      </c>
    </row>
    <row r="7" spans="1:8" ht="15.75">
      <c r="A7" s="18">
        <v>68</v>
      </c>
      <c r="B7" s="22" t="s">
        <v>37</v>
      </c>
      <c r="C7" s="37">
        <f>17+3+2+1</f>
        <v>23</v>
      </c>
      <c r="D7" s="37">
        <f>14+2+6+1+1</f>
        <v>24</v>
      </c>
      <c r="E7" s="37">
        <v>23</v>
      </c>
      <c r="F7" s="83">
        <v>43578</v>
      </c>
      <c r="G7" s="125">
        <f aca="true" t="shared" si="0" ref="G7:G12">E7/D7</f>
        <v>0.9583333333333334</v>
      </c>
      <c r="H7" s="47">
        <f aca="true" t="shared" si="1" ref="H7:H12">E7-D7</f>
        <v>-1</v>
      </c>
    </row>
    <row r="8" spans="1:8" ht="15.75">
      <c r="A8" s="18">
        <v>125</v>
      </c>
      <c r="B8" s="22" t="s">
        <v>4</v>
      </c>
      <c r="C8" s="87">
        <f>11+2+17+3+4</f>
        <v>37</v>
      </c>
      <c r="D8" s="87">
        <f>7+4+26+3</f>
        <v>40</v>
      </c>
      <c r="E8" s="87">
        <f>16+20+4+2</f>
        <v>42</v>
      </c>
      <c r="F8" s="84">
        <v>43593</v>
      </c>
      <c r="G8" s="113">
        <f t="shared" si="0"/>
        <v>1.05</v>
      </c>
      <c r="H8" s="34">
        <f t="shared" si="1"/>
        <v>2</v>
      </c>
    </row>
    <row r="9" spans="1:8" ht="15.75">
      <c r="A9" s="18">
        <v>152</v>
      </c>
      <c r="B9" s="22" t="s">
        <v>5</v>
      </c>
      <c r="C9" s="87">
        <f>5+2+4+1</f>
        <v>12</v>
      </c>
      <c r="D9" s="87">
        <f>10+2</f>
        <v>12</v>
      </c>
      <c r="E9" s="87">
        <f>12</f>
        <v>12</v>
      </c>
      <c r="F9" s="84">
        <v>43437</v>
      </c>
      <c r="G9" s="113">
        <f t="shared" si="0"/>
        <v>1</v>
      </c>
      <c r="H9" s="34">
        <f t="shared" si="1"/>
        <v>0</v>
      </c>
    </row>
    <row r="10" spans="1:8" ht="15.75">
      <c r="A10" s="18">
        <v>155</v>
      </c>
      <c r="B10" s="22" t="s">
        <v>6</v>
      </c>
      <c r="C10" s="87">
        <f>26+24+19+6+6+9+5+2+2</f>
        <v>99</v>
      </c>
      <c r="D10" s="87">
        <f>15+20+24+10+8+6+5+5+2</f>
        <v>95</v>
      </c>
      <c r="E10" s="87">
        <v>96</v>
      </c>
      <c r="F10" s="84">
        <v>43517</v>
      </c>
      <c r="G10" s="113">
        <f t="shared" si="0"/>
        <v>1.0105263157894737</v>
      </c>
      <c r="H10" s="34">
        <f t="shared" si="1"/>
        <v>1</v>
      </c>
    </row>
    <row r="11" spans="1:8" ht="16.5" thickBot="1">
      <c r="A11" s="18">
        <v>160</v>
      </c>
      <c r="B11" s="22" t="s">
        <v>40</v>
      </c>
      <c r="C11" s="35">
        <f>19</f>
        <v>19</v>
      </c>
      <c r="D11" s="35">
        <f>16+1+1</f>
        <v>18</v>
      </c>
      <c r="E11" s="35">
        <f>18</f>
        <v>18</v>
      </c>
      <c r="F11" s="85">
        <v>43451</v>
      </c>
      <c r="G11" s="114">
        <f t="shared" si="0"/>
        <v>1</v>
      </c>
      <c r="H11" s="42">
        <f t="shared" si="1"/>
        <v>0</v>
      </c>
    </row>
    <row r="12" spans="1:9" ht="15.75">
      <c r="A12" s="18"/>
      <c r="B12" s="22" t="s">
        <v>7</v>
      </c>
      <c r="C12" s="46">
        <f>SUM(C7:C11)</f>
        <v>190</v>
      </c>
      <c r="D12" s="46">
        <f>SUM(D7:D11)</f>
        <v>189</v>
      </c>
      <c r="E12" s="46">
        <f>SUM(E7:E11)</f>
        <v>191</v>
      </c>
      <c r="F12" s="86" t="s">
        <v>0</v>
      </c>
      <c r="G12" s="129">
        <f t="shared" si="0"/>
        <v>1.0105820105820107</v>
      </c>
      <c r="H12" s="63">
        <f t="shared" si="1"/>
        <v>2</v>
      </c>
      <c r="I12" s="55"/>
    </row>
    <row r="13" spans="1:8" ht="15.75">
      <c r="A13" s="18"/>
      <c r="B13" s="22"/>
      <c r="C13" s="15"/>
      <c r="D13" s="15"/>
      <c r="E13" s="15"/>
      <c r="F13" s="20" t="s">
        <v>22</v>
      </c>
      <c r="G13" s="18"/>
      <c r="H13" s="19" t="s">
        <v>2</v>
      </c>
    </row>
    <row r="14" spans="1:8" ht="16.5" thickBot="1">
      <c r="A14" s="18"/>
      <c r="B14" s="22" t="s">
        <v>8</v>
      </c>
      <c r="C14" s="19">
        <v>2017</v>
      </c>
      <c r="D14" s="121">
        <v>2018</v>
      </c>
      <c r="E14" s="121">
        <v>2019</v>
      </c>
      <c r="F14" s="20" t="s">
        <v>34</v>
      </c>
      <c r="G14" s="40" t="s">
        <v>1</v>
      </c>
      <c r="H14" s="41">
        <v>1</v>
      </c>
    </row>
    <row r="15" spans="1:8" ht="15.75">
      <c r="A15" s="18">
        <v>28</v>
      </c>
      <c r="B15" s="22" t="s">
        <v>41</v>
      </c>
      <c r="C15" s="37">
        <f>10</f>
        <v>10</v>
      </c>
      <c r="D15" s="37">
        <f>10+1</f>
        <v>11</v>
      </c>
      <c r="E15" s="37">
        <f>8</f>
        <v>8</v>
      </c>
      <c r="F15" s="83">
        <v>43465</v>
      </c>
      <c r="G15" s="126">
        <f aca="true" t="shared" si="2" ref="G15:G24">E15/D15</f>
        <v>0.7272727272727273</v>
      </c>
      <c r="H15" s="34">
        <f aca="true" t="shared" si="3" ref="H15:H23">E15-D15</f>
        <v>-3</v>
      </c>
    </row>
    <row r="16" spans="1:8" ht="15.75">
      <c r="A16" s="18">
        <v>81</v>
      </c>
      <c r="B16" s="22" t="s">
        <v>46</v>
      </c>
      <c r="C16" s="31">
        <f>12+6+3</f>
        <v>21</v>
      </c>
      <c r="D16" s="31">
        <f>10+5+4</f>
        <v>19</v>
      </c>
      <c r="E16" s="31">
        <f>14+5</f>
        <v>19</v>
      </c>
      <c r="F16" s="84">
        <v>43601</v>
      </c>
      <c r="G16" s="113">
        <f t="shared" si="2"/>
        <v>1</v>
      </c>
      <c r="H16" s="34">
        <f t="shared" si="3"/>
        <v>0</v>
      </c>
    </row>
    <row r="17" spans="1:8" ht="15.75">
      <c r="A17" s="18">
        <v>123</v>
      </c>
      <c r="B17" s="22" t="s">
        <v>45</v>
      </c>
      <c r="C17" s="31">
        <f>32+6+1</f>
        <v>39</v>
      </c>
      <c r="D17" s="31">
        <f>26+8</f>
        <v>34</v>
      </c>
      <c r="E17" s="31">
        <f>10+5+6+4+2+2+4+1+1</f>
        <v>35</v>
      </c>
      <c r="F17" s="84">
        <v>43544</v>
      </c>
      <c r="G17" s="113">
        <f t="shared" si="2"/>
        <v>1.0294117647058822</v>
      </c>
      <c r="H17" s="34">
        <f t="shared" si="3"/>
        <v>1</v>
      </c>
    </row>
    <row r="18" spans="1:8" ht="15.75">
      <c r="A18" s="18">
        <v>172</v>
      </c>
      <c r="B18" s="22" t="s">
        <v>47</v>
      </c>
      <c r="C18" s="31">
        <f>18+8+7+20+22+6+8+3+1</f>
        <v>93</v>
      </c>
      <c r="D18" s="31">
        <f>9+7+10+13+9+12+22+6+9+3+6+1+1</f>
        <v>108</v>
      </c>
      <c r="E18" s="31">
        <v>109</v>
      </c>
      <c r="F18" s="84">
        <v>43601</v>
      </c>
      <c r="G18" s="113">
        <f t="shared" si="2"/>
        <v>1.0092592592592593</v>
      </c>
      <c r="H18" s="34">
        <f t="shared" si="3"/>
        <v>1</v>
      </c>
    </row>
    <row r="19" spans="1:8" ht="15.75">
      <c r="A19" s="18">
        <v>224</v>
      </c>
      <c r="B19" s="22" t="s">
        <v>24</v>
      </c>
      <c r="C19" s="31">
        <f>5+5+1+9+8+3+2+2+4</f>
        <v>39</v>
      </c>
      <c r="D19" s="31">
        <f>9+5+5+3+7+2+1+4+1</f>
        <v>37</v>
      </c>
      <c r="E19" s="31">
        <f>6+10+6+3+4+5+2+2+2+1</f>
        <v>41</v>
      </c>
      <c r="F19" s="84">
        <v>43587</v>
      </c>
      <c r="G19" s="113">
        <f t="shared" si="2"/>
        <v>1.1081081081081081</v>
      </c>
      <c r="H19" s="34">
        <f t="shared" si="3"/>
        <v>4</v>
      </c>
    </row>
    <row r="20" spans="1:8" ht="15.75">
      <c r="A20" s="18">
        <v>236</v>
      </c>
      <c r="B20" s="22" t="s">
        <v>125</v>
      </c>
      <c r="C20" s="92">
        <v>23</v>
      </c>
      <c r="D20" s="92">
        <f>25+2+1</f>
        <v>28</v>
      </c>
      <c r="E20" s="92">
        <v>30</v>
      </c>
      <c r="F20" s="93">
        <v>43615</v>
      </c>
      <c r="G20" s="113">
        <f>E20/D20</f>
        <v>1.0714285714285714</v>
      </c>
      <c r="H20" s="34">
        <f>E20-D20</f>
        <v>2</v>
      </c>
    </row>
    <row r="21" spans="1:8" ht="15.75">
      <c r="A21" s="18">
        <v>260</v>
      </c>
      <c r="B21" s="67" t="s">
        <v>153</v>
      </c>
      <c r="C21" s="92"/>
      <c r="D21" s="92"/>
      <c r="E21" s="92">
        <v>10</v>
      </c>
      <c r="F21" s="93">
        <v>43648</v>
      </c>
      <c r="G21" s="116"/>
      <c r="H21" s="34"/>
    </row>
    <row r="22" spans="1:8" ht="15.75">
      <c r="A22" s="18">
        <v>266</v>
      </c>
      <c r="B22" s="67" t="s">
        <v>144</v>
      </c>
      <c r="C22" s="92">
        <v>0</v>
      </c>
      <c r="D22" s="92">
        <f>2+1+1+1+3+3</f>
        <v>11</v>
      </c>
      <c r="E22" s="92">
        <f>12+4+2</f>
        <v>18</v>
      </c>
      <c r="F22" s="93">
        <v>43433</v>
      </c>
      <c r="G22" s="113">
        <f>E22/D22</f>
        <v>1.6363636363636365</v>
      </c>
      <c r="H22" s="34">
        <f>E22-D22</f>
        <v>7</v>
      </c>
    </row>
    <row r="23" spans="1:8" ht="16.5" thickBot="1">
      <c r="A23" s="18">
        <v>344</v>
      </c>
      <c r="B23" s="67" t="s">
        <v>137</v>
      </c>
      <c r="C23" s="94">
        <f>19+1</f>
        <v>20</v>
      </c>
      <c r="D23" s="94">
        <f>18+4</f>
        <v>22</v>
      </c>
      <c r="E23" s="94">
        <f>21+1</f>
        <v>22</v>
      </c>
      <c r="F23" s="85">
        <v>43587</v>
      </c>
      <c r="G23" s="114">
        <f t="shared" si="2"/>
        <v>1</v>
      </c>
      <c r="H23" s="42">
        <f t="shared" si="3"/>
        <v>0</v>
      </c>
    </row>
    <row r="24" spans="1:8" ht="15.75">
      <c r="A24" s="18"/>
      <c r="B24" s="22" t="s">
        <v>7</v>
      </c>
      <c r="C24" s="46">
        <f>SUM(C15:C23)</f>
        <v>245</v>
      </c>
      <c r="D24" s="46">
        <f>SUM(D15:D23)</f>
        <v>270</v>
      </c>
      <c r="E24" s="46">
        <f>SUM(E15:E23)</f>
        <v>292</v>
      </c>
      <c r="F24" s="49"/>
      <c r="G24" s="29">
        <f t="shared" si="2"/>
        <v>1.0814814814814815</v>
      </c>
      <c r="H24" s="63">
        <f>E24-D24</f>
        <v>22</v>
      </c>
    </row>
    <row r="25" spans="1:11" ht="15.75">
      <c r="A25" s="18"/>
      <c r="B25" s="22"/>
      <c r="C25" s="15"/>
      <c r="D25" s="15"/>
      <c r="E25" s="15"/>
      <c r="F25" s="20" t="s">
        <v>22</v>
      </c>
      <c r="G25" s="18"/>
      <c r="H25" s="19" t="s">
        <v>2</v>
      </c>
      <c r="K25" s="29"/>
    </row>
    <row r="26" spans="1:11" ht="16.5" thickBot="1">
      <c r="A26" s="18"/>
      <c r="B26" s="22" t="s">
        <v>9</v>
      </c>
      <c r="C26" s="19">
        <v>2017</v>
      </c>
      <c r="D26" s="121">
        <v>2018</v>
      </c>
      <c r="E26" s="121">
        <v>2019</v>
      </c>
      <c r="F26" s="20" t="s">
        <v>34</v>
      </c>
      <c r="G26" s="59" t="s">
        <v>1</v>
      </c>
      <c r="H26" s="41">
        <v>1</v>
      </c>
      <c r="K26" s="29"/>
    </row>
    <row r="27" spans="1:254" ht="15.75">
      <c r="A27" s="18">
        <v>124</v>
      </c>
      <c r="B27" s="67" t="s">
        <v>131</v>
      </c>
      <c r="C27" s="81">
        <f>7+26+12+11+21+14+14+14+11+5+10+3+6+30+1+1+1</f>
        <v>187</v>
      </c>
      <c r="D27" s="81">
        <f>22+28+29+40+12+20+5+37+10</f>
        <v>203</v>
      </c>
      <c r="E27" s="203">
        <v>210</v>
      </c>
      <c r="F27" s="82">
        <v>43593</v>
      </c>
      <c r="G27" s="116">
        <f aca="true" t="shared" si="4" ref="G27:G35">E27/D27</f>
        <v>1.0344827586206897</v>
      </c>
      <c r="H27" s="34">
        <f aca="true" t="shared" si="5" ref="H27:H34">E27-D27</f>
        <v>7</v>
      </c>
      <c r="I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</row>
    <row r="28" spans="1:254" ht="15.75">
      <c r="A28" s="18">
        <v>130</v>
      </c>
      <c r="B28" s="22" t="s">
        <v>25</v>
      </c>
      <c r="C28" s="39">
        <f>4+6</f>
        <v>10</v>
      </c>
      <c r="D28" s="69">
        <f>3+3+3+1</f>
        <v>10</v>
      </c>
      <c r="E28" s="203">
        <f>10+1</f>
        <v>11</v>
      </c>
      <c r="F28" s="103">
        <v>43495</v>
      </c>
      <c r="G28" s="113">
        <f t="shared" si="4"/>
        <v>1.1</v>
      </c>
      <c r="H28" s="34">
        <f t="shared" si="5"/>
        <v>1</v>
      </c>
      <c r="I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8" ht="15.75">
      <c r="A29" s="18">
        <v>185</v>
      </c>
      <c r="B29" s="22" t="s">
        <v>48</v>
      </c>
      <c r="C29" s="23">
        <f>2+3+3+1+4+1+1+9+1</f>
        <v>25</v>
      </c>
      <c r="D29" s="69">
        <f>14+1+5+2+4+3</f>
        <v>29</v>
      </c>
      <c r="E29" s="203">
        <f>11+2+17</f>
        <v>30</v>
      </c>
      <c r="F29" s="80">
        <v>43487</v>
      </c>
      <c r="G29" s="113">
        <f t="shared" si="4"/>
        <v>1.0344827586206897</v>
      </c>
      <c r="H29" s="34">
        <f t="shared" si="5"/>
        <v>1</v>
      </c>
    </row>
    <row r="30" spans="1:8" ht="15.75">
      <c r="A30" s="18">
        <v>275</v>
      </c>
      <c r="B30" s="22" t="s">
        <v>49</v>
      </c>
      <c r="C30" s="23">
        <f>9+3+11+3+4+2+3+2+4+2+4+3+4+50</f>
        <v>104</v>
      </c>
      <c r="D30" s="69">
        <f>3+5+26+11+36+3+4+22</f>
        <v>110</v>
      </c>
      <c r="E30" s="203">
        <f>23+7+7+9+12+6+2+22+22</f>
        <v>110</v>
      </c>
      <c r="F30" s="80">
        <v>43608</v>
      </c>
      <c r="G30" s="113">
        <f t="shared" si="4"/>
        <v>1</v>
      </c>
      <c r="H30" s="34">
        <f t="shared" si="5"/>
        <v>0</v>
      </c>
    </row>
    <row r="31" spans="1:8" ht="15.75">
      <c r="A31" s="18">
        <v>277</v>
      </c>
      <c r="B31" s="22" t="s">
        <v>50</v>
      </c>
      <c r="C31" s="23">
        <f>4+4+5+5+5+3+2+1</f>
        <v>29</v>
      </c>
      <c r="D31" s="69">
        <f>5+4+1+3+2+1+4+1</f>
        <v>21</v>
      </c>
      <c r="E31" s="203">
        <f>7+2+1</f>
        <v>10</v>
      </c>
      <c r="F31" s="80">
        <v>43517</v>
      </c>
      <c r="G31" s="116">
        <f t="shared" si="4"/>
        <v>0.47619047619047616</v>
      </c>
      <c r="H31" s="34">
        <f t="shared" si="5"/>
        <v>-11</v>
      </c>
    </row>
    <row r="32" spans="1:8" ht="15.75">
      <c r="A32" s="18">
        <v>293</v>
      </c>
      <c r="B32" s="67" t="s">
        <v>128</v>
      </c>
      <c r="C32" s="23">
        <f>5+1</f>
        <v>6</v>
      </c>
      <c r="D32" s="69">
        <f>7+1</f>
        <v>8</v>
      </c>
      <c r="E32" s="203">
        <f>8</f>
        <v>8</v>
      </c>
      <c r="F32" s="80">
        <v>43437</v>
      </c>
      <c r="G32" s="113">
        <f t="shared" si="4"/>
        <v>1</v>
      </c>
      <c r="H32" s="34">
        <f t="shared" si="5"/>
        <v>0</v>
      </c>
    </row>
    <row r="33" spans="1:8" ht="15.75">
      <c r="A33" s="18">
        <v>325</v>
      </c>
      <c r="B33" s="22" t="s">
        <v>126</v>
      </c>
      <c r="C33" s="23">
        <f>32+10</f>
        <v>42</v>
      </c>
      <c r="D33" s="69">
        <f>41+3</f>
        <v>44</v>
      </c>
      <c r="E33" s="203">
        <f>39</f>
        <v>39</v>
      </c>
      <c r="F33" s="80">
        <v>43479</v>
      </c>
      <c r="G33" s="116">
        <f t="shared" si="4"/>
        <v>0.8863636363636364</v>
      </c>
      <c r="H33" s="34">
        <f t="shared" si="5"/>
        <v>-5</v>
      </c>
    </row>
    <row r="34" spans="1:8" ht="16.5" thickBot="1">
      <c r="A34" s="18">
        <v>338</v>
      </c>
      <c r="B34" s="22" t="s">
        <v>26</v>
      </c>
      <c r="C34" s="96">
        <f>6+4+4+1+4+1</f>
        <v>20</v>
      </c>
      <c r="D34" s="52">
        <f>6+1+4+1+4+2+4</f>
        <v>22</v>
      </c>
      <c r="E34" s="203">
        <f>6+1+3+2+5+5+1+1+1</f>
        <v>25</v>
      </c>
      <c r="F34" s="104">
        <v>43615</v>
      </c>
      <c r="G34" s="114">
        <f t="shared" si="4"/>
        <v>1.1363636363636365</v>
      </c>
      <c r="H34" s="42">
        <f t="shared" si="5"/>
        <v>3</v>
      </c>
    </row>
    <row r="35" spans="1:8" s="56" customFormat="1" ht="15.75">
      <c r="A35" s="18"/>
      <c r="B35" s="22" t="s">
        <v>7</v>
      </c>
      <c r="C35" s="46">
        <f>SUM(C27:C34)</f>
        <v>423</v>
      </c>
      <c r="D35" s="46">
        <f>SUM(D27:D34)</f>
        <v>447</v>
      </c>
      <c r="E35" s="46">
        <f>SUM(E27:E34)</f>
        <v>443</v>
      </c>
      <c r="F35" s="49"/>
      <c r="G35" s="29">
        <f t="shared" si="4"/>
        <v>0.9910514541387024</v>
      </c>
      <c r="H35" s="63">
        <f>E35-D35</f>
        <v>-4</v>
      </c>
    </row>
    <row r="36" spans="1:8" ht="15.75">
      <c r="A36" s="18"/>
      <c r="B36" s="19"/>
      <c r="C36" s="15"/>
      <c r="D36" s="15"/>
      <c r="E36" s="15"/>
      <c r="F36" s="25"/>
      <c r="G36" s="26"/>
      <c r="H36" s="13"/>
    </row>
    <row r="37" spans="1:8" ht="15.75">
      <c r="A37" s="18"/>
      <c r="B37" s="19"/>
      <c r="C37" s="15"/>
      <c r="D37" s="15"/>
      <c r="E37" s="15"/>
      <c r="F37" s="20" t="s">
        <v>22</v>
      </c>
      <c r="G37" s="18"/>
      <c r="H37" s="19" t="s">
        <v>2</v>
      </c>
    </row>
    <row r="38" spans="1:8" ht="16.5" thickBot="1">
      <c r="A38" s="18"/>
      <c r="B38" s="22" t="s">
        <v>10</v>
      </c>
      <c r="C38" s="19">
        <v>2017</v>
      </c>
      <c r="D38" s="121">
        <v>2018</v>
      </c>
      <c r="E38" s="121">
        <v>2019</v>
      </c>
      <c r="F38" s="20" t="s">
        <v>34</v>
      </c>
      <c r="G38" s="40" t="s">
        <v>1</v>
      </c>
      <c r="H38" s="41">
        <v>1</v>
      </c>
    </row>
    <row r="39" spans="1:8" ht="15.75">
      <c r="A39" s="18">
        <v>2</v>
      </c>
      <c r="B39" s="22" t="s">
        <v>52</v>
      </c>
      <c r="C39" s="50">
        <f>22</f>
        <v>22</v>
      </c>
      <c r="D39" s="50">
        <f>20+2</f>
        <v>22</v>
      </c>
      <c r="E39" s="50">
        <f>22</f>
        <v>22</v>
      </c>
      <c r="F39" s="51">
        <v>43437</v>
      </c>
      <c r="G39" s="113">
        <f aca="true" t="shared" si="6" ref="G39:G60">E39/D39</f>
        <v>1</v>
      </c>
      <c r="H39" s="34">
        <f aca="true" t="shared" si="7" ref="H39:H59">E39-D39</f>
        <v>0</v>
      </c>
    </row>
    <row r="40" spans="1:8" ht="15.75">
      <c r="A40" s="18">
        <v>41</v>
      </c>
      <c r="B40" s="22" t="s">
        <v>51</v>
      </c>
      <c r="C40" s="23">
        <f>23+1</f>
        <v>24</v>
      </c>
      <c r="D40" s="23">
        <f>25+8</f>
        <v>33</v>
      </c>
      <c r="E40" s="23">
        <v>25</v>
      </c>
      <c r="F40" s="24">
        <v>43432</v>
      </c>
      <c r="G40" s="116">
        <f t="shared" si="6"/>
        <v>0.7575757575757576</v>
      </c>
      <c r="H40" s="34">
        <f t="shared" si="7"/>
        <v>-8</v>
      </c>
    </row>
    <row r="41" spans="1:8" ht="15.75">
      <c r="A41" s="18">
        <v>58</v>
      </c>
      <c r="B41" s="22" t="s">
        <v>121</v>
      </c>
      <c r="C41" s="23">
        <f>10+2+6+4+1+3+1+2</f>
        <v>29</v>
      </c>
      <c r="D41" s="23">
        <f>8+10+4+2+2+3</f>
        <v>29</v>
      </c>
      <c r="E41" s="23">
        <f>23+2+1</f>
        <v>26</v>
      </c>
      <c r="F41" s="24">
        <v>43517</v>
      </c>
      <c r="G41" s="116">
        <f t="shared" si="6"/>
        <v>0.896551724137931</v>
      </c>
      <c r="H41" s="34">
        <f t="shared" si="7"/>
        <v>-3</v>
      </c>
    </row>
    <row r="42" spans="1:8" ht="15.75">
      <c r="A42" s="18">
        <v>59</v>
      </c>
      <c r="B42" s="22" t="s">
        <v>53</v>
      </c>
      <c r="C42" s="23">
        <f>2+3+3+1+1+1+1</f>
        <v>12</v>
      </c>
      <c r="D42" s="23">
        <f>3+2+1+1+1+1+1+1</f>
        <v>11</v>
      </c>
      <c r="E42" s="23">
        <f>4+1+2+1+1+1</f>
        <v>10</v>
      </c>
      <c r="F42" s="24">
        <v>43544</v>
      </c>
      <c r="G42" s="33">
        <f t="shared" si="6"/>
        <v>0.9090909090909091</v>
      </c>
      <c r="H42" s="34">
        <f t="shared" si="7"/>
        <v>-1</v>
      </c>
    </row>
    <row r="43" spans="1:8" ht="15.75">
      <c r="A43" s="18">
        <v>92</v>
      </c>
      <c r="B43" s="22" t="s">
        <v>54</v>
      </c>
      <c r="C43" s="23">
        <f>5+8+6+8+4+1+1</f>
        <v>33</v>
      </c>
      <c r="D43" s="23">
        <f>15+6+6+3</f>
        <v>30</v>
      </c>
      <c r="E43" s="23">
        <v>33</v>
      </c>
      <c r="F43" s="24">
        <v>43601</v>
      </c>
      <c r="G43" s="113">
        <f t="shared" si="6"/>
        <v>1.1</v>
      </c>
      <c r="H43" s="34">
        <f t="shared" si="7"/>
        <v>3</v>
      </c>
    </row>
    <row r="44" spans="1:8" ht="15.75">
      <c r="A44" s="18">
        <v>102</v>
      </c>
      <c r="B44" s="22" t="s">
        <v>42</v>
      </c>
      <c r="C44" s="23">
        <f>3+4+4+14+12+9+15+3+8+5+1+3+1+2+2+1+1+1+1+1</f>
        <v>91</v>
      </c>
      <c r="D44" s="23">
        <f>3+4+14+14+10+7+13+10+4+5+3+5+10+1+11+4+1</f>
        <v>119</v>
      </c>
      <c r="E44" s="23">
        <v>108</v>
      </c>
      <c r="F44" s="24">
        <v>43615</v>
      </c>
      <c r="G44" s="116">
        <f t="shared" si="6"/>
        <v>0.907563025210084</v>
      </c>
      <c r="H44" s="34">
        <f t="shared" si="7"/>
        <v>-11</v>
      </c>
    </row>
    <row r="45" spans="1:8" ht="15.75">
      <c r="A45" s="18">
        <v>109</v>
      </c>
      <c r="B45" s="22" t="s">
        <v>55</v>
      </c>
      <c r="C45" s="23">
        <f>21</f>
        <v>21</v>
      </c>
      <c r="D45" s="23">
        <f>27</f>
        <v>27</v>
      </c>
      <c r="E45" s="23">
        <f>34</f>
        <v>34</v>
      </c>
      <c r="F45" s="24">
        <v>43517</v>
      </c>
      <c r="G45" s="113">
        <f t="shared" si="6"/>
        <v>1.2592592592592593</v>
      </c>
      <c r="H45" s="34">
        <f t="shared" si="7"/>
        <v>7</v>
      </c>
    </row>
    <row r="46" spans="1:8" ht="15.75">
      <c r="A46" s="18">
        <v>129</v>
      </c>
      <c r="B46" s="22" t="s">
        <v>56</v>
      </c>
      <c r="C46" s="23">
        <f>3+4+2+6+3+4+1+3+2+1+2+2+6+1+1</f>
        <v>41</v>
      </c>
      <c r="D46" s="23">
        <f>10+2+8+1+3+2+2+3+1+2+4+3+2+1</f>
        <v>44</v>
      </c>
      <c r="E46" s="23">
        <f>16+16+6</f>
        <v>38</v>
      </c>
      <c r="F46" s="24">
        <v>43517</v>
      </c>
      <c r="G46" s="116">
        <f t="shared" si="6"/>
        <v>0.8636363636363636</v>
      </c>
      <c r="H46" s="34">
        <f t="shared" si="7"/>
        <v>-6</v>
      </c>
    </row>
    <row r="47" spans="1:8" ht="15.75">
      <c r="A47" s="18">
        <v>138</v>
      </c>
      <c r="B47" s="67" t="s">
        <v>132</v>
      </c>
      <c r="C47" s="23">
        <f>19+4</f>
        <v>23</v>
      </c>
      <c r="D47" s="23">
        <f>22</f>
        <v>22</v>
      </c>
      <c r="E47" s="23">
        <f>17+7+4+1</f>
        <v>29</v>
      </c>
      <c r="F47" s="24">
        <v>43573</v>
      </c>
      <c r="G47" s="113">
        <f t="shared" si="6"/>
        <v>1.3181818181818181</v>
      </c>
      <c r="H47" s="34">
        <f t="shared" si="7"/>
        <v>7</v>
      </c>
    </row>
    <row r="48" spans="1:8" ht="15.75">
      <c r="A48" s="18">
        <v>184</v>
      </c>
      <c r="B48" s="22" t="s">
        <v>36</v>
      </c>
      <c r="C48" s="23">
        <f>11+9+5+1+1</f>
        <v>27</v>
      </c>
      <c r="D48" s="23">
        <f>16+8+4</f>
        <v>28</v>
      </c>
      <c r="E48" s="23">
        <v>31</v>
      </c>
      <c r="F48" s="24">
        <v>43615</v>
      </c>
      <c r="G48" s="113">
        <f t="shared" si="6"/>
        <v>1.1071428571428572</v>
      </c>
      <c r="H48" s="34">
        <f t="shared" si="7"/>
        <v>3</v>
      </c>
    </row>
    <row r="49" spans="1:8" ht="15.75">
      <c r="A49" s="18">
        <v>189</v>
      </c>
      <c r="B49" s="22" t="s">
        <v>57</v>
      </c>
      <c r="C49" s="23">
        <f>7+3+1+2+3+5+1</f>
        <v>22</v>
      </c>
      <c r="D49" s="23">
        <f>7+2+2+3+3+5</f>
        <v>22</v>
      </c>
      <c r="E49" s="23">
        <f>14+7+1+2</f>
        <v>24</v>
      </c>
      <c r="F49" s="80">
        <v>43517</v>
      </c>
      <c r="G49" s="113">
        <f t="shared" si="6"/>
        <v>1.0909090909090908</v>
      </c>
      <c r="H49" s="34">
        <f t="shared" si="7"/>
        <v>2</v>
      </c>
    </row>
    <row r="50" spans="1:254" ht="15.75">
      <c r="A50" s="18">
        <v>193</v>
      </c>
      <c r="B50" s="22" t="s">
        <v>58</v>
      </c>
      <c r="C50" s="23">
        <f>20+17+14+11+20+14+7+15+9+15+21+9+14+11+10+13+11+6+5+5+3+1+1+1+2+1</f>
        <v>256</v>
      </c>
      <c r="D50" s="23">
        <f>21+29+41+35+24+13+1+20+10+1+1+1+1+1</f>
        <v>199</v>
      </c>
      <c r="E50" s="23">
        <v>150</v>
      </c>
      <c r="F50" s="24">
        <v>43565</v>
      </c>
      <c r="G50" s="33">
        <f t="shared" si="6"/>
        <v>0.7537688442211056</v>
      </c>
      <c r="H50" s="34">
        <f t="shared" si="7"/>
        <v>-49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</row>
    <row r="51" spans="1:9" ht="15.75">
      <c r="A51" s="18">
        <v>234</v>
      </c>
      <c r="B51" s="22" t="s">
        <v>27</v>
      </c>
      <c r="C51" s="23">
        <f>13+9+14+20+8+1+5+1</f>
        <v>71</v>
      </c>
      <c r="D51" s="23">
        <f>11+1+20+17+9+3+5+1+2+1</f>
        <v>70</v>
      </c>
      <c r="E51" s="23">
        <f>14+11+27+9</f>
        <v>61</v>
      </c>
      <c r="F51" s="24">
        <v>43629</v>
      </c>
      <c r="G51" s="33">
        <f t="shared" si="6"/>
        <v>0.8714285714285714</v>
      </c>
      <c r="H51" s="34">
        <f t="shared" si="7"/>
        <v>-9</v>
      </c>
      <c r="I51" s="30"/>
    </row>
    <row r="52" spans="1:8" ht="15.75">
      <c r="A52" s="18">
        <v>244</v>
      </c>
      <c r="B52" s="22" t="s">
        <v>43</v>
      </c>
      <c r="C52" s="23">
        <f>4+15+10+8+8+6+2</f>
        <v>53</v>
      </c>
      <c r="D52" s="23">
        <f>24+11+3+1+6+6+9+1</f>
        <v>61</v>
      </c>
      <c r="E52" s="23">
        <v>60</v>
      </c>
      <c r="F52" s="24">
        <v>43615</v>
      </c>
      <c r="G52" s="33">
        <f t="shared" si="6"/>
        <v>0.9836065573770492</v>
      </c>
      <c r="H52" s="34">
        <f t="shared" si="7"/>
        <v>-1</v>
      </c>
    </row>
    <row r="53" spans="1:8" ht="15.75">
      <c r="A53" s="18">
        <v>279</v>
      </c>
      <c r="B53" s="22" t="s">
        <v>39</v>
      </c>
      <c r="C53" s="23">
        <f>6+3+9+3+8+3+1+5+3+1</f>
        <v>42</v>
      </c>
      <c r="D53" s="23">
        <f>9+7+8+8+4+2</f>
        <v>38</v>
      </c>
      <c r="E53" s="23">
        <f>23+11+2</f>
        <v>36</v>
      </c>
      <c r="F53" s="24">
        <v>43615</v>
      </c>
      <c r="G53" s="33">
        <f t="shared" si="6"/>
        <v>0.9473684210526315</v>
      </c>
      <c r="H53" s="34">
        <f t="shared" si="7"/>
        <v>-2</v>
      </c>
    </row>
    <row r="54" spans="1:8" ht="15.75">
      <c r="A54" s="18">
        <v>288</v>
      </c>
      <c r="B54" s="22" t="s">
        <v>59</v>
      </c>
      <c r="C54" s="23">
        <f>12+1</f>
        <v>13</v>
      </c>
      <c r="D54" s="23">
        <f>13+5</f>
        <v>18</v>
      </c>
      <c r="E54" s="23">
        <f>8+3</f>
        <v>11</v>
      </c>
      <c r="F54" s="24">
        <v>43544</v>
      </c>
      <c r="G54" s="116">
        <f t="shared" si="6"/>
        <v>0.6111111111111112</v>
      </c>
      <c r="H54" s="34">
        <f t="shared" si="7"/>
        <v>-7</v>
      </c>
    </row>
    <row r="55" spans="1:8" ht="15.75">
      <c r="A55" s="18">
        <v>373</v>
      </c>
      <c r="B55" s="22" t="s">
        <v>28</v>
      </c>
      <c r="C55" s="23">
        <f>15+14+9+7+4+3+3+3+1</f>
        <v>59</v>
      </c>
      <c r="D55" s="23">
        <f>16+13+14+4+8+3+3+3</f>
        <v>64</v>
      </c>
      <c r="E55" s="23">
        <f>14+11+5+6+7+13+5+3+3+1</f>
        <v>68</v>
      </c>
      <c r="F55" s="24">
        <v>43529</v>
      </c>
      <c r="G55" s="113">
        <f t="shared" si="6"/>
        <v>1.0625</v>
      </c>
      <c r="H55" s="34">
        <f t="shared" si="7"/>
        <v>4</v>
      </c>
    </row>
    <row r="56" spans="1:8" ht="15.75">
      <c r="A56" s="18">
        <v>414</v>
      </c>
      <c r="B56" s="22" t="s">
        <v>123</v>
      </c>
      <c r="C56" s="23">
        <f>48+1+3+1+1+2+2+1+1</f>
        <v>60</v>
      </c>
      <c r="D56" s="23">
        <f>61+4+2+1+3+3+2+1</f>
        <v>77</v>
      </c>
      <c r="E56" s="23">
        <f>11+26+16+5+7+1+3</f>
        <v>69</v>
      </c>
      <c r="F56" s="24">
        <v>43608</v>
      </c>
      <c r="G56" s="116">
        <f t="shared" si="6"/>
        <v>0.8961038961038961</v>
      </c>
      <c r="H56" s="34">
        <f t="shared" si="7"/>
        <v>-8</v>
      </c>
    </row>
    <row r="57" spans="1:8" ht="15.75">
      <c r="A57" s="18">
        <v>429</v>
      </c>
      <c r="B57" s="22" t="s">
        <v>11</v>
      </c>
      <c r="C57" s="23">
        <f>1+2+1+10+5+2</f>
        <v>21</v>
      </c>
      <c r="D57" s="23">
        <f>1+1+1+4+7+3</f>
        <v>17</v>
      </c>
      <c r="E57" s="23">
        <f>1+2+5+1</f>
        <v>9</v>
      </c>
      <c r="F57" s="45">
        <v>43531</v>
      </c>
      <c r="G57" s="33">
        <f t="shared" si="6"/>
        <v>0.5294117647058824</v>
      </c>
      <c r="H57" s="34">
        <f t="shared" si="7"/>
        <v>-8</v>
      </c>
    </row>
    <row r="58" spans="1:8" ht="15.75">
      <c r="A58" s="18">
        <v>435</v>
      </c>
      <c r="B58" s="22" t="s">
        <v>120</v>
      </c>
      <c r="C58" s="23">
        <f>19+5+13+4+4+12+9+4+4+1+2</f>
        <v>77</v>
      </c>
      <c r="D58" s="23">
        <f>13+9+7+10+7+9+13+8+2+2+1</f>
        <v>81</v>
      </c>
      <c r="E58" s="23">
        <v>78</v>
      </c>
      <c r="F58" s="45">
        <v>43619</v>
      </c>
      <c r="G58" s="116">
        <f t="shared" si="6"/>
        <v>0.9629629629629629</v>
      </c>
      <c r="H58" s="34">
        <f t="shared" si="7"/>
        <v>-3</v>
      </c>
    </row>
    <row r="59" spans="1:8" ht="16.5" thickBot="1">
      <c r="A59" s="18">
        <v>443</v>
      </c>
      <c r="B59" s="22" t="s">
        <v>119</v>
      </c>
      <c r="C59" s="52">
        <f>39+36+22</f>
        <v>97</v>
      </c>
      <c r="D59" s="52">
        <f>60+21+1</f>
        <v>82</v>
      </c>
      <c r="E59" s="52">
        <v>68</v>
      </c>
      <c r="F59" s="53">
        <v>43475</v>
      </c>
      <c r="G59" s="36">
        <f t="shared" si="6"/>
        <v>0.8292682926829268</v>
      </c>
      <c r="H59" s="42">
        <f t="shared" si="7"/>
        <v>-14</v>
      </c>
    </row>
    <row r="60" spans="1:8" s="56" customFormat="1" ht="15.75">
      <c r="A60" s="18"/>
      <c r="B60" s="22" t="s">
        <v>7</v>
      </c>
      <c r="C60" s="46">
        <f>SUM(C39:C59)</f>
        <v>1094</v>
      </c>
      <c r="D60" s="46">
        <f>SUM(D39:D59)</f>
        <v>1094</v>
      </c>
      <c r="E60" s="46">
        <f>SUM(E39:E59)</f>
        <v>990</v>
      </c>
      <c r="F60" s="49"/>
      <c r="G60" s="29">
        <f t="shared" si="6"/>
        <v>0.9049360146252285</v>
      </c>
      <c r="H60" s="63">
        <f>E60-D60</f>
        <v>-104</v>
      </c>
    </row>
    <row r="61" spans="1:254" ht="15.75">
      <c r="A61" s="18"/>
      <c r="B61" s="19"/>
      <c r="C61" s="15"/>
      <c r="D61" s="15"/>
      <c r="E61" s="15"/>
      <c r="F61" s="25" t="s">
        <v>0</v>
      </c>
      <c r="G61" s="26"/>
      <c r="H61" s="13"/>
      <c r="I61" s="28"/>
      <c r="J61" s="29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  <c r="GJ61" s="28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8"/>
      <c r="GX61" s="28"/>
      <c r="GY61" s="28"/>
      <c r="GZ61" s="28"/>
      <c r="HA61" s="28"/>
      <c r="HB61" s="28"/>
      <c r="HC61" s="28"/>
      <c r="HD61" s="28"/>
      <c r="HE61" s="28"/>
      <c r="HF61" s="28"/>
      <c r="HG61" s="28"/>
      <c r="HH61" s="28"/>
      <c r="HI61" s="28"/>
      <c r="HJ61" s="28"/>
      <c r="HK61" s="28"/>
      <c r="HL61" s="28"/>
      <c r="HM61" s="28"/>
      <c r="HN61" s="28"/>
      <c r="HO61" s="28"/>
      <c r="HP61" s="28"/>
      <c r="HQ61" s="28"/>
      <c r="HR61" s="28"/>
      <c r="HS61" s="28"/>
      <c r="HT61" s="28"/>
      <c r="HU61" s="28"/>
      <c r="HV61" s="28"/>
      <c r="HW61" s="28"/>
      <c r="HX61" s="28"/>
      <c r="HY61" s="28"/>
      <c r="HZ61" s="28"/>
      <c r="IA61" s="28"/>
      <c r="IB61" s="28"/>
      <c r="IC61" s="28"/>
      <c r="ID61" s="28"/>
      <c r="IE61" s="28"/>
      <c r="IF61" s="28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</row>
    <row r="62" spans="1:8" ht="15.75">
      <c r="A62" s="18"/>
      <c r="B62" s="19"/>
      <c r="C62" s="15"/>
      <c r="D62" s="15"/>
      <c r="E62" s="15"/>
      <c r="F62" s="20" t="s">
        <v>22</v>
      </c>
      <c r="G62" s="18"/>
      <c r="H62" s="19" t="s">
        <v>2</v>
      </c>
    </row>
    <row r="63" spans="1:8" ht="16.5" thickBot="1">
      <c r="A63" s="18"/>
      <c r="B63" s="22" t="s">
        <v>12</v>
      </c>
      <c r="C63" s="40">
        <v>2017</v>
      </c>
      <c r="D63" s="122">
        <v>2018</v>
      </c>
      <c r="E63" s="122">
        <v>2019</v>
      </c>
      <c r="F63" s="20" t="s">
        <v>34</v>
      </c>
      <c r="G63" s="40" t="s">
        <v>1</v>
      </c>
      <c r="H63" s="41">
        <v>1</v>
      </c>
    </row>
    <row r="64" spans="1:8" ht="15.75">
      <c r="A64" s="18">
        <v>19</v>
      </c>
      <c r="B64" s="22" t="s">
        <v>13</v>
      </c>
      <c r="C64" s="39">
        <f>36+20</f>
        <v>56</v>
      </c>
      <c r="D64" s="39">
        <f>29+21+1</f>
        <v>51</v>
      </c>
      <c r="E64" s="39">
        <v>41</v>
      </c>
      <c r="F64" s="51">
        <v>43529</v>
      </c>
      <c r="G64" s="33">
        <f aca="true" t="shared" si="8" ref="G64:G91">E64/D64</f>
        <v>0.803921568627451</v>
      </c>
      <c r="H64" s="34">
        <f aca="true" t="shared" si="9" ref="H64:H90">E64-D64</f>
        <v>-10</v>
      </c>
    </row>
    <row r="65" spans="1:8" ht="15.75">
      <c r="A65" s="18">
        <v>39</v>
      </c>
      <c r="B65" s="22" t="s">
        <v>14</v>
      </c>
      <c r="C65" s="23">
        <f>84</f>
        <v>84</v>
      </c>
      <c r="D65" s="23">
        <f>66+5</f>
        <v>71</v>
      </c>
      <c r="E65" s="23">
        <f>76</f>
        <v>76</v>
      </c>
      <c r="F65" s="24">
        <v>43482</v>
      </c>
      <c r="G65" s="113">
        <f t="shared" si="8"/>
        <v>1.0704225352112675</v>
      </c>
      <c r="H65" s="34">
        <f t="shared" si="9"/>
        <v>5</v>
      </c>
    </row>
    <row r="66" spans="1:8" ht="15.75">
      <c r="A66" s="18">
        <v>45</v>
      </c>
      <c r="B66" s="22" t="s">
        <v>60</v>
      </c>
      <c r="C66" s="23">
        <f>38+16+62+6+7+2+2+2+2+1</f>
        <v>138</v>
      </c>
      <c r="D66" s="23">
        <f>18+17+5+6+25+35+6+7+5+3+2+1</f>
        <v>130</v>
      </c>
      <c r="E66" s="23">
        <v>136</v>
      </c>
      <c r="F66" s="24">
        <v>43563</v>
      </c>
      <c r="G66" s="113">
        <f t="shared" si="8"/>
        <v>1.0461538461538462</v>
      </c>
      <c r="H66" s="34">
        <f t="shared" si="9"/>
        <v>6</v>
      </c>
    </row>
    <row r="67" spans="1:8" ht="15.75">
      <c r="A67" s="18">
        <v>55</v>
      </c>
      <c r="B67" s="67" t="s">
        <v>138</v>
      </c>
      <c r="C67" s="23">
        <f>5+4+1</f>
        <v>10</v>
      </c>
      <c r="D67" s="23">
        <f>2+3+1+3</f>
        <v>9</v>
      </c>
      <c r="E67" s="23">
        <f>3+3</f>
        <v>6</v>
      </c>
      <c r="F67" s="24">
        <v>43563</v>
      </c>
      <c r="G67" s="33">
        <f t="shared" si="8"/>
        <v>0.6666666666666666</v>
      </c>
      <c r="H67" s="34">
        <f t="shared" si="9"/>
        <v>-3</v>
      </c>
    </row>
    <row r="68" spans="1:8" ht="15.75">
      <c r="A68" s="18">
        <v>62</v>
      </c>
      <c r="B68" s="22" t="s">
        <v>61</v>
      </c>
      <c r="C68" s="23">
        <f>13+15+14+18</f>
        <v>60</v>
      </c>
      <c r="D68" s="23">
        <f>22+24+18+1+16</f>
        <v>81</v>
      </c>
      <c r="E68" s="23">
        <v>76</v>
      </c>
      <c r="F68" s="24">
        <v>43587</v>
      </c>
      <c r="G68" s="116">
        <f t="shared" si="8"/>
        <v>0.9382716049382716</v>
      </c>
      <c r="H68" s="34">
        <f t="shared" si="9"/>
        <v>-5</v>
      </c>
    </row>
    <row r="69" spans="1:8" ht="15.75">
      <c r="A69" s="18">
        <v>69</v>
      </c>
      <c r="B69" s="22" t="s">
        <v>62</v>
      </c>
      <c r="C69" s="23">
        <f>3+7+11+30+7+4+10</f>
        <v>72</v>
      </c>
      <c r="D69" s="23">
        <f>10+13+5+8+3</f>
        <v>39</v>
      </c>
      <c r="E69" s="23">
        <f>4+1</f>
        <v>5</v>
      </c>
      <c r="F69" s="24">
        <v>43558</v>
      </c>
      <c r="G69" s="33">
        <f t="shared" si="8"/>
        <v>0.1282051282051282</v>
      </c>
      <c r="H69" s="34">
        <f t="shared" si="9"/>
        <v>-34</v>
      </c>
    </row>
    <row r="70" spans="1:8" ht="15.75">
      <c r="A70" s="18">
        <v>77</v>
      </c>
      <c r="B70" s="22" t="s">
        <v>63</v>
      </c>
      <c r="C70" s="23">
        <f>5+5+4+8+4+1</f>
        <v>27</v>
      </c>
      <c r="D70" s="23">
        <f>5+7+5+4+4+1</f>
        <v>26</v>
      </c>
      <c r="E70" s="23">
        <f>7+5+6+8</f>
        <v>26</v>
      </c>
      <c r="F70" s="24">
        <v>43552</v>
      </c>
      <c r="G70" s="113">
        <f t="shared" si="8"/>
        <v>1</v>
      </c>
      <c r="H70" s="34">
        <f t="shared" si="9"/>
        <v>0</v>
      </c>
    </row>
    <row r="71" spans="1:8" ht="15.75">
      <c r="A71" s="18">
        <v>87</v>
      </c>
      <c r="B71" s="22" t="s">
        <v>64</v>
      </c>
      <c r="C71" s="23">
        <f>53</f>
        <v>53</v>
      </c>
      <c r="D71" s="23">
        <f>34</f>
        <v>34</v>
      </c>
      <c r="E71" s="23">
        <f>25</f>
        <v>25</v>
      </c>
      <c r="F71" s="24">
        <v>43425</v>
      </c>
      <c r="G71" s="33">
        <f t="shared" si="8"/>
        <v>0.7352941176470589</v>
      </c>
      <c r="H71" s="34">
        <f t="shared" si="9"/>
        <v>-9</v>
      </c>
    </row>
    <row r="72" spans="1:8" ht="15.75">
      <c r="A72" s="18">
        <v>101</v>
      </c>
      <c r="B72" s="22" t="s">
        <v>65</v>
      </c>
      <c r="C72" s="23">
        <f>7+14+2+33+11+8+7+10+3+3+5+3+2+1</f>
        <v>109</v>
      </c>
      <c r="D72" s="23">
        <f>8+2+11+28+28+6+8+6+3+7</f>
        <v>107</v>
      </c>
      <c r="E72" s="23">
        <v>113</v>
      </c>
      <c r="F72" s="24">
        <v>43517</v>
      </c>
      <c r="G72" s="33">
        <f t="shared" si="8"/>
        <v>1.0560747663551402</v>
      </c>
      <c r="H72" s="34">
        <f t="shared" si="9"/>
        <v>6</v>
      </c>
    </row>
    <row r="73" spans="1:8" ht="15.75">
      <c r="A73" s="18">
        <v>107</v>
      </c>
      <c r="B73" s="22" t="s">
        <v>66</v>
      </c>
      <c r="C73" s="23">
        <f>5</f>
        <v>5</v>
      </c>
      <c r="D73" s="23">
        <f>5</f>
        <v>5</v>
      </c>
      <c r="E73" s="23">
        <f>5</f>
        <v>5</v>
      </c>
      <c r="F73" s="24">
        <v>43391</v>
      </c>
      <c r="G73" s="113">
        <f t="shared" si="8"/>
        <v>1</v>
      </c>
      <c r="H73" s="34">
        <f t="shared" si="9"/>
        <v>0</v>
      </c>
    </row>
    <row r="74" spans="1:8" ht="15.75">
      <c r="A74" s="18">
        <v>115</v>
      </c>
      <c r="B74" s="22" t="s">
        <v>44</v>
      </c>
      <c r="C74" s="23">
        <f>25+19</f>
        <v>44</v>
      </c>
      <c r="D74" s="23">
        <f>38</f>
        <v>38</v>
      </c>
      <c r="E74" s="23">
        <f>37+6</f>
        <v>43</v>
      </c>
      <c r="F74" s="24">
        <v>43643</v>
      </c>
      <c r="G74" s="113">
        <f t="shared" si="8"/>
        <v>1.131578947368421</v>
      </c>
      <c r="H74" s="34">
        <f t="shared" si="9"/>
        <v>5</v>
      </c>
    </row>
    <row r="75" spans="1:8" ht="15.75">
      <c r="A75" s="18">
        <v>132</v>
      </c>
      <c r="B75" s="22" t="s">
        <v>67</v>
      </c>
      <c r="C75" s="23">
        <f>26+15+7+5+21</f>
        <v>74</v>
      </c>
      <c r="D75" s="23">
        <f>11+7+6+13+6+3+7+2+1</f>
        <v>56</v>
      </c>
      <c r="E75" s="23">
        <v>53</v>
      </c>
      <c r="F75" s="24">
        <v>43487</v>
      </c>
      <c r="G75" s="33">
        <f t="shared" si="8"/>
        <v>0.9464285714285714</v>
      </c>
      <c r="H75" s="34">
        <f t="shared" si="9"/>
        <v>-3</v>
      </c>
    </row>
    <row r="76" spans="1:8" ht="15.75">
      <c r="A76" s="18">
        <v>136</v>
      </c>
      <c r="B76" s="22" t="s">
        <v>68</v>
      </c>
      <c r="C76" s="23">
        <f>8+5+14+2+5</f>
        <v>34</v>
      </c>
      <c r="D76" s="23">
        <f>12+6+4+2+7</f>
        <v>31</v>
      </c>
      <c r="E76" s="23">
        <v>34</v>
      </c>
      <c r="F76" s="24">
        <v>43593</v>
      </c>
      <c r="G76" s="113">
        <f t="shared" si="8"/>
        <v>1.096774193548387</v>
      </c>
      <c r="H76" s="34">
        <f t="shared" si="9"/>
        <v>3</v>
      </c>
    </row>
    <row r="77" spans="1:8" ht="15.75">
      <c r="A77" s="18">
        <v>139</v>
      </c>
      <c r="B77" s="22" t="s">
        <v>69</v>
      </c>
      <c r="C77" s="23">
        <f>1+3+3</f>
        <v>7</v>
      </c>
      <c r="D77" s="23">
        <f>7</f>
        <v>7</v>
      </c>
      <c r="E77" s="23">
        <f>1+6</f>
        <v>7</v>
      </c>
      <c r="F77" s="24">
        <v>43377</v>
      </c>
      <c r="G77" s="113">
        <f t="shared" si="8"/>
        <v>1</v>
      </c>
      <c r="H77" s="34">
        <f t="shared" si="9"/>
        <v>0</v>
      </c>
    </row>
    <row r="78" spans="1:8" ht="15.75">
      <c r="A78" s="18">
        <v>156</v>
      </c>
      <c r="B78" s="22" t="s">
        <v>38</v>
      </c>
      <c r="C78" s="23">
        <f>24+7+8+13+5+4+1</f>
        <v>62</v>
      </c>
      <c r="D78" s="23">
        <f>12+6+1+13+16+9+2</f>
        <v>59</v>
      </c>
      <c r="E78" s="23">
        <v>57</v>
      </c>
      <c r="F78" s="24">
        <v>43580</v>
      </c>
      <c r="G78" s="33">
        <f t="shared" si="8"/>
        <v>0.9661016949152542</v>
      </c>
      <c r="H78" s="34">
        <f t="shared" si="9"/>
        <v>-2</v>
      </c>
    </row>
    <row r="79" spans="1:8" ht="15.75">
      <c r="A79" s="18">
        <v>159</v>
      </c>
      <c r="B79" s="22" t="s">
        <v>70</v>
      </c>
      <c r="C79" s="23">
        <f>31</f>
        <v>31</v>
      </c>
      <c r="D79" s="23">
        <f>32+2</f>
        <v>34</v>
      </c>
      <c r="E79" s="23">
        <f>33</f>
        <v>33</v>
      </c>
      <c r="F79" s="24">
        <v>43453</v>
      </c>
      <c r="G79" s="116">
        <f t="shared" si="8"/>
        <v>0.9705882352941176</v>
      </c>
      <c r="H79" s="34">
        <f t="shared" si="9"/>
        <v>-1</v>
      </c>
    </row>
    <row r="80" spans="1:8" ht="15.75">
      <c r="A80" s="18">
        <v>183</v>
      </c>
      <c r="B80" s="22" t="s">
        <v>71</v>
      </c>
      <c r="C80" s="23">
        <f>1+1+1</f>
        <v>3</v>
      </c>
      <c r="D80" s="23">
        <f>1+1</f>
        <v>2</v>
      </c>
      <c r="E80" s="70">
        <f>1+1+1+1</f>
        <v>4</v>
      </c>
      <c r="F80" s="24">
        <v>43587</v>
      </c>
      <c r="G80" s="113">
        <f t="shared" si="8"/>
        <v>2</v>
      </c>
      <c r="H80" s="34">
        <f t="shared" si="9"/>
        <v>2</v>
      </c>
    </row>
    <row r="81" spans="1:8" ht="15.75">
      <c r="A81" s="18">
        <v>191</v>
      </c>
      <c r="B81" s="22" t="s">
        <v>72</v>
      </c>
      <c r="C81" s="23">
        <f>18+8</f>
        <v>26</v>
      </c>
      <c r="D81" s="23">
        <f>12+13</f>
        <v>25</v>
      </c>
      <c r="E81" s="23">
        <v>33</v>
      </c>
      <c r="F81" s="24">
        <v>43432</v>
      </c>
      <c r="G81" s="33">
        <f t="shared" si="8"/>
        <v>1.32</v>
      </c>
      <c r="H81" s="34">
        <f t="shared" si="9"/>
        <v>8</v>
      </c>
    </row>
    <row r="82" spans="1:8" ht="15.75">
      <c r="A82" s="18">
        <v>221</v>
      </c>
      <c r="B82" s="22" t="s">
        <v>73</v>
      </c>
      <c r="C82" s="23">
        <f>12+13+4+4+3+7+7+6+2+6</f>
        <v>64</v>
      </c>
      <c r="D82" s="23">
        <f>36+2+8+5+3+5+1+2+1+1</f>
        <v>64</v>
      </c>
      <c r="E82" s="23">
        <v>106</v>
      </c>
      <c r="F82" s="80">
        <v>43648</v>
      </c>
      <c r="G82" s="113">
        <f t="shared" si="8"/>
        <v>1.65625</v>
      </c>
      <c r="H82" s="34">
        <f t="shared" si="9"/>
        <v>42</v>
      </c>
    </row>
    <row r="83" spans="1:8" ht="15.75">
      <c r="A83" s="18">
        <v>247</v>
      </c>
      <c r="B83" s="22" t="s">
        <v>74</v>
      </c>
      <c r="C83" s="23">
        <f>3+7+5+4+6+1</f>
        <v>26</v>
      </c>
      <c r="D83" s="23">
        <f>4+4+6+4+1+1+1+1+1+3</f>
        <v>26</v>
      </c>
      <c r="E83" s="23">
        <f>4+6+7+2+1+2+2</f>
        <v>24</v>
      </c>
      <c r="F83" s="24">
        <v>43608</v>
      </c>
      <c r="G83" s="116">
        <f t="shared" si="8"/>
        <v>0.9230769230769231</v>
      </c>
      <c r="H83" s="34">
        <f t="shared" si="9"/>
        <v>-2</v>
      </c>
    </row>
    <row r="84" spans="1:8" ht="15.75">
      <c r="A84" s="18">
        <v>273</v>
      </c>
      <c r="B84" s="22" t="s">
        <v>75</v>
      </c>
      <c r="C84" s="23">
        <f>53+27+4+1</f>
        <v>85</v>
      </c>
      <c r="D84" s="23">
        <f>20+37+18+1+10+1</f>
        <v>87</v>
      </c>
      <c r="E84" s="23">
        <v>81</v>
      </c>
      <c r="F84" s="24">
        <v>43538</v>
      </c>
      <c r="G84" s="116">
        <f t="shared" si="8"/>
        <v>0.9310344827586207</v>
      </c>
      <c r="H84" s="34">
        <f t="shared" si="9"/>
        <v>-6</v>
      </c>
    </row>
    <row r="85" spans="1:8" ht="15.75">
      <c r="A85" s="18">
        <v>313</v>
      </c>
      <c r="B85" s="22" t="s">
        <v>35</v>
      </c>
      <c r="C85" s="23">
        <f>27</f>
        <v>27</v>
      </c>
      <c r="D85" s="23">
        <f>21</f>
        <v>21</v>
      </c>
      <c r="E85" s="23">
        <f>18+1+2</f>
        <v>21</v>
      </c>
      <c r="F85" s="45">
        <v>43601</v>
      </c>
      <c r="G85" s="113">
        <f t="shared" si="8"/>
        <v>1</v>
      </c>
      <c r="H85" s="34">
        <f t="shared" si="9"/>
        <v>0</v>
      </c>
    </row>
    <row r="86" spans="1:8" ht="15.75">
      <c r="A86" s="18">
        <v>315</v>
      </c>
      <c r="B86" s="22" t="s">
        <v>76</v>
      </c>
      <c r="C86" s="23">
        <f>4+4+1+6+2+4+3+2+5+2+2+1</f>
        <v>36</v>
      </c>
      <c r="D86" s="23">
        <f>6+2+4+8+2+7+2+1+1+1</f>
        <v>34</v>
      </c>
      <c r="E86" s="23">
        <v>49</v>
      </c>
      <c r="F86" s="45">
        <v>43601</v>
      </c>
      <c r="G86" s="113">
        <f t="shared" si="8"/>
        <v>1.4411764705882353</v>
      </c>
      <c r="H86" s="34">
        <f t="shared" si="9"/>
        <v>15</v>
      </c>
    </row>
    <row r="87" spans="1:11" ht="15.75">
      <c r="A87" s="18">
        <v>361</v>
      </c>
      <c r="B87" s="22" t="s">
        <v>77</v>
      </c>
      <c r="C87" s="23">
        <f>19</f>
        <v>19</v>
      </c>
      <c r="D87" s="23">
        <f>17</f>
        <v>17</v>
      </c>
      <c r="E87" s="23">
        <v>20</v>
      </c>
      <c r="F87" s="45">
        <v>44222</v>
      </c>
      <c r="G87" s="33">
        <f t="shared" si="8"/>
        <v>1.1764705882352942</v>
      </c>
      <c r="H87" s="34">
        <f t="shared" si="9"/>
        <v>3</v>
      </c>
      <c r="K87" s="57" t="s">
        <v>0</v>
      </c>
    </row>
    <row r="88" spans="1:8" ht="15.75">
      <c r="A88" s="18">
        <v>437</v>
      </c>
      <c r="B88" s="22" t="s">
        <v>78</v>
      </c>
      <c r="C88" s="23">
        <f>27+8+1+15+5+17+13</f>
        <v>86</v>
      </c>
      <c r="D88" s="23">
        <f>17+35+16</f>
        <v>68</v>
      </c>
      <c r="E88" s="23">
        <v>97</v>
      </c>
      <c r="F88" s="45">
        <v>43593</v>
      </c>
      <c r="G88" s="113">
        <f t="shared" si="8"/>
        <v>1.4264705882352942</v>
      </c>
      <c r="H88" s="34">
        <f t="shared" si="9"/>
        <v>29</v>
      </c>
    </row>
    <row r="89" spans="1:8" ht="15.75">
      <c r="A89" s="18">
        <v>440</v>
      </c>
      <c r="B89" s="22" t="s">
        <v>79</v>
      </c>
      <c r="C89" s="23">
        <f>50+50+25+25+25+25+15+8</f>
        <v>223</v>
      </c>
      <c r="D89" s="23">
        <f>43+21+48+6+6+7+5+3</f>
        <v>139</v>
      </c>
      <c r="E89" s="23">
        <v>131</v>
      </c>
      <c r="F89" s="80">
        <v>43593</v>
      </c>
      <c r="G89" s="33">
        <f t="shared" si="8"/>
        <v>0.9424460431654677</v>
      </c>
      <c r="H89" s="34">
        <f t="shared" si="9"/>
        <v>-8</v>
      </c>
    </row>
    <row r="90" spans="1:8" ht="16.5" thickBot="1">
      <c r="A90" s="7">
        <v>442</v>
      </c>
      <c r="B90" s="22" t="s">
        <v>133</v>
      </c>
      <c r="C90" s="88">
        <f>20</f>
        <v>20</v>
      </c>
      <c r="D90" s="88">
        <f>20</f>
        <v>20</v>
      </c>
      <c r="E90" s="88">
        <f>26</f>
        <v>26</v>
      </c>
      <c r="F90" s="89">
        <v>43578</v>
      </c>
      <c r="G90" s="114">
        <f t="shared" si="8"/>
        <v>1.3</v>
      </c>
      <c r="H90" s="42">
        <f t="shared" si="9"/>
        <v>6</v>
      </c>
    </row>
    <row r="91" spans="1:8" s="56" customFormat="1" ht="15.75">
      <c r="A91" s="18"/>
      <c r="B91" s="22" t="s">
        <v>7</v>
      </c>
      <c r="C91" s="46">
        <f>SUM(C64:C90)</f>
        <v>1481</v>
      </c>
      <c r="D91" s="46">
        <f>SUM(D64:D90)</f>
        <v>1281</v>
      </c>
      <c r="E91" s="46">
        <f>SUM(E64:E90)</f>
        <v>1328</v>
      </c>
      <c r="F91" s="49"/>
      <c r="G91" s="29">
        <f t="shared" si="8"/>
        <v>1.0366900858704138</v>
      </c>
      <c r="H91" s="63">
        <f>E91-D91</f>
        <v>47</v>
      </c>
    </row>
    <row r="92" spans="1:8" ht="15.75">
      <c r="A92" s="18"/>
      <c r="B92" s="19"/>
      <c r="C92" s="15"/>
      <c r="D92" s="15"/>
      <c r="E92" s="15"/>
      <c r="F92" s="20" t="s">
        <v>0</v>
      </c>
      <c r="G92" s="27"/>
      <c r="H92" s="13"/>
    </row>
    <row r="93" spans="1:8" ht="15.75">
      <c r="A93" s="18"/>
      <c r="B93" s="19"/>
      <c r="C93" s="15"/>
      <c r="D93" s="15"/>
      <c r="E93" s="15"/>
      <c r="F93" s="20"/>
      <c r="G93" s="18"/>
      <c r="H93" s="18"/>
    </row>
    <row r="94" spans="1:8" ht="15.75">
      <c r="A94" s="18"/>
      <c r="B94" s="19"/>
      <c r="C94" s="15"/>
      <c r="D94" s="15"/>
      <c r="E94" s="15"/>
      <c r="F94" s="20" t="s">
        <v>22</v>
      </c>
      <c r="G94" s="18"/>
      <c r="H94" s="19" t="s">
        <v>2</v>
      </c>
    </row>
    <row r="95" spans="1:8" ht="16.5" thickBot="1">
      <c r="A95" s="18"/>
      <c r="B95" s="22" t="s">
        <v>15</v>
      </c>
      <c r="C95" s="40">
        <v>2017</v>
      </c>
      <c r="D95" s="121">
        <v>2018</v>
      </c>
      <c r="E95" s="121">
        <v>2019</v>
      </c>
      <c r="F95" s="44" t="s">
        <v>34</v>
      </c>
      <c r="G95" s="40" t="s">
        <v>1</v>
      </c>
      <c r="H95" s="41">
        <v>1</v>
      </c>
    </row>
    <row r="96" spans="1:8" ht="15.75">
      <c r="A96" s="18">
        <v>18</v>
      </c>
      <c r="B96" s="22" t="s">
        <v>80</v>
      </c>
      <c r="C96" s="50">
        <f>24+24+47+19+9+24+23+22+18+2+8+1+2+2</f>
        <v>225</v>
      </c>
      <c r="D96" s="50">
        <f>24+22+24+23+19+40+34+16+14+6+3+6+2+1+3</f>
        <v>237</v>
      </c>
      <c r="E96" s="50">
        <v>277</v>
      </c>
      <c r="F96" s="51">
        <v>43608</v>
      </c>
      <c r="G96" s="113">
        <f aca="true" t="shared" si="10" ref="G96:G108">E96/D96</f>
        <v>1.1687763713080168</v>
      </c>
      <c r="H96" s="34">
        <f aca="true" t="shared" si="11" ref="H96:H107">E96-D96</f>
        <v>40</v>
      </c>
    </row>
    <row r="97" spans="1:8" ht="15.75">
      <c r="A97" s="18">
        <v>24</v>
      </c>
      <c r="B97" s="22" t="s">
        <v>81</v>
      </c>
      <c r="C97" s="23">
        <f>11+18+12+13+16+16+19+9+17+6+8+4+1+1+1</f>
        <v>152</v>
      </c>
      <c r="D97" s="23">
        <f>15+14+14+11+22+19+14+16+11+4+3+2+1+4+1+1</f>
        <v>152</v>
      </c>
      <c r="E97" s="23">
        <v>160</v>
      </c>
      <c r="F97" s="80">
        <v>43628</v>
      </c>
      <c r="G97" s="113">
        <f t="shared" si="10"/>
        <v>1.0526315789473684</v>
      </c>
      <c r="H97" s="34">
        <f t="shared" si="11"/>
        <v>8</v>
      </c>
    </row>
    <row r="98" spans="1:254" ht="15.75">
      <c r="A98" s="18">
        <v>79</v>
      </c>
      <c r="B98" s="22" t="s">
        <v>82</v>
      </c>
      <c r="C98" s="23">
        <f>4+6+2+2+3+1</f>
        <v>18</v>
      </c>
      <c r="D98" s="23">
        <f>7+8</f>
        <v>15</v>
      </c>
      <c r="E98" s="23">
        <f>10+12</f>
        <v>22</v>
      </c>
      <c r="F98" s="24">
        <v>43517</v>
      </c>
      <c r="G98" s="113">
        <f t="shared" si="10"/>
        <v>1.4666666666666666</v>
      </c>
      <c r="H98" s="34">
        <f t="shared" si="11"/>
        <v>7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</row>
    <row r="99" spans="1:8" ht="16.5" customHeight="1">
      <c r="A99" s="18">
        <v>106</v>
      </c>
      <c r="B99" s="22" t="s">
        <v>84</v>
      </c>
      <c r="C99" s="23">
        <f>8+3+9+2+9+8+20+7+2+2+2+2+2+1+1</f>
        <v>78</v>
      </c>
      <c r="D99" s="23">
        <f>31+12+20+2+3+5+1+2+1</f>
        <v>77</v>
      </c>
      <c r="E99" s="23">
        <v>67</v>
      </c>
      <c r="F99" s="24">
        <v>43649</v>
      </c>
      <c r="G99" s="33">
        <f t="shared" si="10"/>
        <v>0.8701298701298701</v>
      </c>
      <c r="H99" s="34">
        <f t="shared" si="11"/>
        <v>-10</v>
      </c>
    </row>
    <row r="100" spans="1:8" ht="15.75">
      <c r="A100" s="18">
        <v>110</v>
      </c>
      <c r="B100" s="22" t="s">
        <v>85</v>
      </c>
      <c r="C100" s="23">
        <f>16+14+5+2</f>
        <v>37</v>
      </c>
      <c r="D100" s="23">
        <f>22+9+5</f>
        <v>36</v>
      </c>
      <c r="E100" s="23">
        <f>22+5+6</f>
        <v>33</v>
      </c>
      <c r="F100" s="24">
        <v>43608</v>
      </c>
      <c r="G100" s="33">
        <f t="shared" si="10"/>
        <v>0.9166666666666666</v>
      </c>
      <c r="H100" s="34">
        <f t="shared" si="11"/>
        <v>-3</v>
      </c>
    </row>
    <row r="101" spans="1:8" ht="15.75">
      <c r="A101" s="18">
        <v>114</v>
      </c>
      <c r="B101" s="22" t="s">
        <v>86</v>
      </c>
      <c r="C101" s="23">
        <f>13+21+5</f>
        <v>39</v>
      </c>
      <c r="D101" s="23">
        <f>25</f>
        <v>25</v>
      </c>
      <c r="E101" s="23">
        <f>38</f>
        <v>38</v>
      </c>
      <c r="F101" s="24">
        <v>43563</v>
      </c>
      <c r="G101" s="113">
        <f t="shared" si="10"/>
        <v>1.52</v>
      </c>
      <c r="H101" s="34">
        <f t="shared" si="11"/>
        <v>13</v>
      </c>
    </row>
    <row r="102" spans="1:8" ht="15.75">
      <c r="A102" s="18">
        <v>118</v>
      </c>
      <c r="B102" s="22" t="s">
        <v>87</v>
      </c>
      <c r="C102" s="23">
        <f>67+23</f>
        <v>90</v>
      </c>
      <c r="D102" s="23">
        <f>47</f>
        <v>47</v>
      </c>
      <c r="E102" s="23">
        <f>19+26</f>
        <v>45</v>
      </c>
      <c r="F102" s="24">
        <v>43558</v>
      </c>
      <c r="G102" s="33">
        <f t="shared" si="10"/>
        <v>0.9574468085106383</v>
      </c>
      <c r="H102" s="34">
        <f t="shared" si="11"/>
        <v>-2</v>
      </c>
    </row>
    <row r="103" spans="1:8" ht="15.75">
      <c r="A103" s="18">
        <v>209</v>
      </c>
      <c r="B103" s="22" t="s">
        <v>127</v>
      </c>
      <c r="C103" s="23">
        <f>31</f>
        <v>31</v>
      </c>
      <c r="D103" s="23">
        <f>30</f>
        <v>30</v>
      </c>
      <c r="E103" s="23">
        <f>30</f>
        <v>30</v>
      </c>
      <c r="F103" s="24">
        <v>43451</v>
      </c>
      <c r="G103" s="113">
        <f t="shared" si="10"/>
        <v>1</v>
      </c>
      <c r="H103" s="34">
        <f t="shared" si="11"/>
        <v>0</v>
      </c>
    </row>
    <row r="104" spans="1:8" ht="15.75">
      <c r="A104" s="18">
        <v>225</v>
      </c>
      <c r="B104" s="22" t="s">
        <v>89</v>
      </c>
      <c r="C104" s="23">
        <f>14+15+6+1</f>
        <v>36</v>
      </c>
      <c r="D104" s="23">
        <f>16+5+6+2</f>
        <v>29</v>
      </c>
      <c r="E104" s="23">
        <v>28</v>
      </c>
      <c r="F104" s="24">
        <v>43495</v>
      </c>
      <c r="G104" s="33">
        <f t="shared" si="10"/>
        <v>0.9655172413793104</v>
      </c>
      <c r="H104" s="34">
        <f t="shared" si="11"/>
        <v>-1</v>
      </c>
    </row>
    <row r="105" spans="1:8" ht="15.75">
      <c r="A105" s="18">
        <v>294</v>
      </c>
      <c r="B105" s="22" t="s">
        <v>29</v>
      </c>
      <c r="C105" s="23">
        <f>5+5+15+4+3+9+3</f>
        <v>44</v>
      </c>
      <c r="D105" s="23">
        <f>3+10+7+10+3+6+4+5+1+1+1</f>
        <v>51</v>
      </c>
      <c r="E105" s="23">
        <f>22+12+12+4+4+1</f>
        <v>55</v>
      </c>
      <c r="F105" s="24">
        <v>43578</v>
      </c>
      <c r="G105" s="113">
        <f t="shared" si="10"/>
        <v>1.0784313725490196</v>
      </c>
      <c r="H105" s="34">
        <f t="shared" si="11"/>
        <v>4</v>
      </c>
    </row>
    <row r="106" spans="1:8" ht="15.75">
      <c r="A106" s="18">
        <v>380</v>
      </c>
      <c r="B106" s="22" t="s">
        <v>91</v>
      </c>
      <c r="C106" s="23">
        <f>10</f>
        <v>10</v>
      </c>
      <c r="D106" s="23">
        <f>10</f>
        <v>10</v>
      </c>
      <c r="E106" s="23">
        <f>9+3</f>
        <v>12</v>
      </c>
      <c r="F106" s="24">
        <v>43608</v>
      </c>
      <c r="G106" s="113">
        <f t="shared" si="10"/>
        <v>1.2</v>
      </c>
      <c r="H106" s="34">
        <f t="shared" si="11"/>
        <v>2</v>
      </c>
    </row>
    <row r="107" spans="1:8" ht="16.5" thickBot="1">
      <c r="A107" s="18">
        <v>382</v>
      </c>
      <c r="B107" s="22" t="s">
        <v>90</v>
      </c>
      <c r="C107" s="52">
        <f>7+1+9+11+7+7+10+18+2+1+1+1</f>
        <v>75</v>
      </c>
      <c r="D107" s="52">
        <f>2+11+10+5+10+16+12+2+15</f>
        <v>83</v>
      </c>
      <c r="E107" s="52">
        <f>25+17+35+1+14+6+1+3</f>
        <v>102</v>
      </c>
      <c r="F107" s="53">
        <v>43615</v>
      </c>
      <c r="G107" s="114">
        <f t="shared" si="10"/>
        <v>1.2289156626506024</v>
      </c>
      <c r="H107" s="42">
        <f t="shared" si="11"/>
        <v>19</v>
      </c>
    </row>
    <row r="108" spans="1:8" s="56" customFormat="1" ht="15.75">
      <c r="A108" s="18"/>
      <c r="B108" s="22" t="s">
        <v>7</v>
      </c>
      <c r="C108" s="46">
        <f>SUM(C96:C107)</f>
        <v>835</v>
      </c>
      <c r="D108" s="46">
        <f>SUM(D96:D107)</f>
        <v>792</v>
      </c>
      <c r="E108" s="46">
        <f>SUM(E96:E107)</f>
        <v>869</v>
      </c>
      <c r="F108" s="49"/>
      <c r="G108" s="129">
        <f t="shared" si="10"/>
        <v>1.0972222222222223</v>
      </c>
      <c r="H108" s="63">
        <f>E108-D108</f>
        <v>77</v>
      </c>
    </row>
    <row r="109" spans="1:8" ht="15.75">
      <c r="A109" s="18"/>
      <c r="B109" s="22"/>
      <c r="C109" s="15"/>
      <c r="D109" s="15"/>
      <c r="E109" s="15"/>
      <c r="F109" s="25"/>
      <c r="G109" s="26"/>
      <c r="H109" s="13"/>
    </row>
    <row r="110" spans="1:8" ht="15.75">
      <c r="A110" s="18"/>
      <c r="B110" s="22"/>
      <c r="C110" s="15"/>
      <c r="D110" s="15"/>
      <c r="E110" s="15"/>
      <c r="F110" s="20" t="s">
        <v>22</v>
      </c>
      <c r="G110" s="18"/>
      <c r="H110" s="19" t="s">
        <v>2</v>
      </c>
    </row>
    <row r="111" spans="1:8" ht="16.5" thickBot="1">
      <c r="A111" s="18"/>
      <c r="B111" s="22" t="s">
        <v>16</v>
      </c>
      <c r="C111" s="46">
        <v>2017</v>
      </c>
      <c r="D111" s="121">
        <v>2018</v>
      </c>
      <c r="E111" s="121">
        <v>2019</v>
      </c>
      <c r="F111" s="20" t="s">
        <v>34</v>
      </c>
      <c r="G111" s="40" t="s">
        <v>1</v>
      </c>
      <c r="H111" s="41">
        <v>1</v>
      </c>
    </row>
    <row r="112" spans="1:8" ht="15.75">
      <c r="A112" s="18">
        <v>16</v>
      </c>
      <c r="B112" s="22" t="s">
        <v>92</v>
      </c>
      <c r="C112" s="37">
        <f>10+6+4+2+4+7</f>
        <v>33</v>
      </c>
      <c r="D112" s="37">
        <f>16+1+3+12</f>
        <v>32</v>
      </c>
      <c r="E112" s="37">
        <v>36</v>
      </c>
      <c r="F112" s="38">
        <v>43628</v>
      </c>
      <c r="G112" s="113">
        <f aca="true" t="shared" si="12" ref="G112:G118">E112/D112</f>
        <v>1.125</v>
      </c>
      <c r="H112" s="34">
        <f aca="true" t="shared" si="13" ref="H112:H118">E112-D112</f>
        <v>4</v>
      </c>
    </row>
    <row r="113" spans="1:8" ht="15.75">
      <c r="A113" s="18">
        <v>26</v>
      </c>
      <c r="B113" s="67" t="s">
        <v>135</v>
      </c>
      <c r="C113" s="90">
        <f>2+1+1+1</f>
        <v>5</v>
      </c>
      <c r="D113" s="90">
        <f>1+2+1+1</f>
        <v>5</v>
      </c>
      <c r="E113" s="90">
        <f>1+4+1</f>
        <v>6</v>
      </c>
      <c r="F113" s="91">
        <v>43495</v>
      </c>
      <c r="G113" s="113">
        <f t="shared" si="12"/>
        <v>1.2</v>
      </c>
      <c r="H113" s="34">
        <f t="shared" si="13"/>
        <v>1</v>
      </c>
    </row>
    <row r="114" spans="1:8" ht="15.75">
      <c r="A114" s="18">
        <v>61</v>
      </c>
      <c r="B114" s="67" t="s">
        <v>134</v>
      </c>
      <c r="C114" s="31">
        <f>7+12+1+1</f>
        <v>21</v>
      </c>
      <c r="D114" s="31">
        <f>16+3</f>
        <v>19</v>
      </c>
      <c r="E114" s="31">
        <v>21</v>
      </c>
      <c r="F114" s="32">
        <v>43487</v>
      </c>
      <c r="G114" s="113">
        <f t="shared" si="12"/>
        <v>1.105263157894737</v>
      </c>
      <c r="H114" s="34">
        <f t="shared" si="13"/>
        <v>2</v>
      </c>
    </row>
    <row r="115" spans="1:8" ht="15.75">
      <c r="A115" s="18">
        <v>78</v>
      </c>
      <c r="B115" s="22" t="s">
        <v>93</v>
      </c>
      <c r="C115" s="31">
        <f>15+8+8+3+2+2+1+8+3+1+6</f>
        <v>57</v>
      </c>
      <c r="D115" s="31">
        <f>5+13+3+10+4+3+4+1+1+2+5+2</f>
        <v>53</v>
      </c>
      <c r="E115" s="31">
        <f>17+6+5+2+3+5+1+2+10+2+3</f>
        <v>56</v>
      </c>
      <c r="F115" s="32">
        <v>43619</v>
      </c>
      <c r="G115" s="113">
        <f t="shared" si="12"/>
        <v>1.0566037735849056</v>
      </c>
      <c r="H115" s="34">
        <f t="shared" si="13"/>
        <v>3</v>
      </c>
    </row>
    <row r="116" spans="1:8" ht="15.75">
      <c r="A116" s="18">
        <v>117</v>
      </c>
      <c r="B116" s="67" t="s">
        <v>136</v>
      </c>
      <c r="C116" s="31">
        <f>2</f>
        <v>2</v>
      </c>
      <c r="D116" s="31">
        <f>2</f>
        <v>2</v>
      </c>
      <c r="E116" s="31">
        <f>2</f>
        <v>2</v>
      </c>
      <c r="F116" s="32">
        <v>43305</v>
      </c>
      <c r="G116" s="113">
        <f t="shared" si="12"/>
        <v>1</v>
      </c>
      <c r="H116" s="111">
        <f t="shared" si="13"/>
        <v>0</v>
      </c>
    </row>
    <row r="117" spans="1:8" ht="16.5" thickBot="1">
      <c r="A117" s="18">
        <v>297</v>
      </c>
      <c r="B117" s="67" t="s">
        <v>143</v>
      </c>
      <c r="C117" s="35">
        <v>0</v>
      </c>
      <c r="D117" s="35">
        <f>11</f>
        <v>11</v>
      </c>
      <c r="E117" s="35">
        <v>14</v>
      </c>
      <c r="F117" s="97">
        <v>43563</v>
      </c>
      <c r="G117" s="114">
        <f t="shared" si="12"/>
        <v>1.2727272727272727</v>
      </c>
      <c r="H117" s="112">
        <f t="shared" si="13"/>
        <v>3</v>
      </c>
    </row>
    <row r="118" spans="1:8" s="56" customFormat="1" ht="15.75">
      <c r="A118" s="18"/>
      <c r="B118" s="22" t="s">
        <v>7</v>
      </c>
      <c r="C118" s="46">
        <f>SUM(C112:C116)</f>
        <v>118</v>
      </c>
      <c r="D118" s="46">
        <f>SUM(D112:D117)</f>
        <v>122</v>
      </c>
      <c r="E118" s="46">
        <f>SUM(E112:E117)</f>
        <v>135</v>
      </c>
      <c r="F118" s="49"/>
      <c r="G118" s="129">
        <f t="shared" si="12"/>
        <v>1.1065573770491803</v>
      </c>
      <c r="H118" s="63">
        <f t="shared" si="13"/>
        <v>13</v>
      </c>
    </row>
    <row r="119" spans="1:254" ht="15.75">
      <c r="A119" s="18"/>
      <c r="B119" s="22"/>
      <c r="C119" s="15"/>
      <c r="D119" s="15"/>
      <c r="E119" s="15"/>
      <c r="F119" s="25"/>
      <c r="G119" s="26"/>
      <c r="H119" s="13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  <c r="CA119" s="28"/>
      <c r="CB119" s="28"/>
      <c r="CC119" s="28"/>
      <c r="CD119" s="28"/>
      <c r="CE119" s="28"/>
      <c r="CF119" s="28"/>
      <c r="CG119" s="28"/>
      <c r="CH119" s="28"/>
      <c r="CI119" s="28"/>
      <c r="CJ119" s="28"/>
      <c r="CK119" s="28"/>
      <c r="CL119" s="28"/>
      <c r="CM119" s="28"/>
      <c r="CN119" s="28"/>
      <c r="CO119" s="28"/>
      <c r="CP119" s="28"/>
      <c r="CQ119" s="28"/>
      <c r="CR119" s="28"/>
      <c r="CS119" s="28"/>
      <c r="CT119" s="28"/>
      <c r="CU119" s="28"/>
      <c r="CV119" s="28"/>
      <c r="CW119" s="28"/>
      <c r="CX119" s="28"/>
      <c r="CY119" s="28"/>
      <c r="CZ119" s="28"/>
      <c r="DA119" s="28"/>
      <c r="DB119" s="28"/>
      <c r="DC119" s="28"/>
      <c r="DD119" s="28"/>
      <c r="DE119" s="28"/>
      <c r="DF119" s="28"/>
      <c r="DG119" s="28"/>
      <c r="DH119" s="28"/>
      <c r="DI119" s="28"/>
      <c r="DJ119" s="28"/>
      <c r="DK119" s="28"/>
      <c r="DL119" s="28"/>
      <c r="DM119" s="28"/>
      <c r="DN119" s="28"/>
      <c r="DO119" s="28"/>
      <c r="DP119" s="28"/>
      <c r="DQ119" s="28"/>
      <c r="DR119" s="28"/>
      <c r="DS119" s="28"/>
      <c r="DT119" s="28"/>
      <c r="DU119" s="28"/>
      <c r="DV119" s="28"/>
      <c r="DW119" s="28"/>
      <c r="DX119" s="28"/>
      <c r="DY119" s="28"/>
      <c r="DZ119" s="28"/>
      <c r="EA119" s="28"/>
      <c r="EB119" s="28"/>
      <c r="EC119" s="28"/>
      <c r="ED119" s="28"/>
      <c r="EE119" s="28"/>
      <c r="EF119" s="28"/>
      <c r="EG119" s="28"/>
      <c r="EH119" s="28"/>
      <c r="EI119" s="28"/>
      <c r="EJ119" s="28"/>
      <c r="EK119" s="28"/>
      <c r="EL119" s="28"/>
      <c r="EM119" s="28"/>
      <c r="EN119" s="28"/>
      <c r="EO119" s="28"/>
      <c r="EP119" s="28"/>
      <c r="EQ119" s="28"/>
      <c r="ER119" s="28"/>
      <c r="ES119" s="28"/>
      <c r="ET119" s="28"/>
      <c r="EU119" s="28"/>
      <c r="EV119" s="28"/>
      <c r="EW119" s="28"/>
      <c r="EX119" s="28"/>
      <c r="EY119" s="28"/>
      <c r="EZ119" s="28"/>
      <c r="FA119" s="28"/>
      <c r="FB119" s="28"/>
      <c r="FC119" s="28"/>
      <c r="FD119" s="28"/>
      <c r="FE119" s="28"/>
      <c r="FF119" s="28"/>
      <c r="FG119" s="28"/>
      <c r="FH119" s="28"/>
      <c r="FI119" s="28"/>
      <c r="FJ119" s="28"/>
      <c r="FK119" s="28"/>
      <c r="FL119" s="28"/>
      <c r="FM119" s="28"/>
      <c r="FN119" s="28"/>
      <c r="FO119" s="28"/>
      <c r="FP119" s="28"/>
      <c r="FQ119" s="28"/>
      <c r="FR119" s="28"/>
      <c r="FS119" s="28"/>
      <c r="FT119" s="28"/>
      <c r="FU119" s="28"/>
      <c r="FV119" s="28"/>
      <c r="FW119" s="28"/>
      <c r="FX119" s="28"/>
      <c r="FY119" s="28"/>
      <c r="FZ119" s="28"/>
      <c r="GA119" s="28"/>
      <c r="GB119" s="28"/>
      <c r="GC119" s="28"/>
      <c r="GD119" s="28"/>
      <c r="GE119" s="28"/>
      <c r="GF119" s="28"/>
      <c r="GG119" s="28"/>
      <c r="GH119" s="28"/>
      <c r="GI119" s="28"/>
      <c r="GJ119" s="28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8"/>
      <c r="GX119" s="28"/>
      <c r="GY119" s="28"/>
      <c r="GZ119" s="28"/>
      <c r="HA119" s="28"/>
      <c r="HB119" s="28"/>
      <c r="HC119" s="28"/>
      <c r="HD119" s="28"/>
      <c r="HE119" s="28"/>
      <c r="HF119" s="28"/>
      <c r="HG119" s="28"/>
      <c r="HH119" s="28"/>
      <c r="HI119" s="28"/>
      <c r="HJ119" s="28"/>
      <c r="HK119" s="28"/>
      <c r="HL119" s="28"/>
      <c r="HM119" s="28"/>
      <c r="HN119" s="28"/>
      <c r="HO119" s="28"/>
      <c r="HP119" s="28"/>
      <c r="HQ119" s="28"/>
      <c r="HR119" s="28"/>
      <c r="HS119" s="28"/>
      <c r="HT119" s="28"/>
      <c r="HU119" s="28"/>
      <c r="HV119" s="28"/>
      <c r="HW119" s="28"/>
      <c r="HX119" s="28"/>
      <c r="HY119" s="28"/>
      <c r="HZ119" s="28"/>
      <c r="IA119" s="28"/>
      <c r="IB119" s="28"/>
      <c r="IC119" s="28"/>
      <c r="ID119" s="28"/>
      <c r="IE119" s="28"/>
      <c r="IF119" s="28"/>
      <c r="IG119" s="28"/>
      <c r="IH119" s="28"/>
      <c r="II119" s="28"/>
      <c r="IJ119" s="28"/>
      <c r="IK119" s="28"/>
      <c r="IL119" s="28"/>
      <c r="IM119" s="28"/>
      <c r="IN119" s="28"/>
      <c r="IO119" s="28"/>
      <c r="IP119" s="28"/>
      <c r="IQ119" s="28"/>
      <c r="IR119" s="28"/>
      <c r="IS119" s="28"/>
      <c r="IT119" s="28"/>
    </row>
    <row r="120" spans="1:8" ht="15.75">
      <c r="A120" s="18"/>
      <c r="B120" s="22"/>
      <c r="C120" s="15"/>
      <c r="D120" s="15"/>
      <c r="E120" s="15"/>
      <c r="F120" s="20" t="s">
        <v>22</v>
      </c>
      <c r="G120" s="18"/>
      <c r="H120" s="19" t="s">
        <v>2</v>
      </c>
    </row>
    <row r="121" spans="1:8" ht="16.5" thickBot="1">
      <c r="A121" s="18"/>
      <c r="B121" s="22" t="s">
        <v>17</v>
      </c>
      <c r="C121" s="46">
        <v>2017</v>
      </c>
      <c r="D121" s="121">
        <v>2018</v>
      </c>
      <c r="E121" s="121">
        <v>2019</v>
      </c>
      <c r="F121" s="20" t="s">
        <v>34</v>
      </c>
      <c r="G121" s="40" t="s">
        <v>1</v>
      </c>
      <c r="H121" s="41">
        <v>1</v>
      </c>
    </row>
    <row r="122" spans="1:8" ht="15.75">
      <c r="A122" s="18">
        <v>3</v>
      </c>
      <c r="B122" s="22" t="s">
        <v>94</v>
      </c>
      <c r="C122" s="50">
        <f>4+9+4+3+2+4+5+5+3+2</f>
        <v>41</v>
      </c>
      <c r="D122" s="50">
        <f>6+9+2+2+1+1+6+1+3+4+4+3+2+2+1</f>
        <v>47</v>
      </c>
      <c r="E122" s="50">
        <v>44</v>
      </c>
      <c r="F122" s="99">
        <v>43643</v>
      </c>
      <c r="G122" s="116">
        <f aca="true" t="shared" si="14" ref="G122:G130">E122/D122</f>
        <v>0.9361702127659575</v>
      </c>
      <c r="H122" s="34">
        <f aca="true" t="shared" si="15" ref="H122:H129">E122-D122</f>
        <v>-3</v>
      </c>
    </row>
    <row r="123" spans="1:8" ht="15.75">
      <c r="A123" s="18">
        <v>4</v>
      </c>
      <c r="B123" s="22" t="s">
        <v>95</v>
      </c>
      <c r="C123" s="23">
        <f>9+1+2+7+6+2+4+1+2+1</f>
        <v>35</v>
      </c>
      <c r="D123" s="23">
        <f>11+8+6+6+6+5+4+2+1+1+3+1+2</f>
        <v>56</v>
      </c>
      <c r="E123" s="23">
        <f>15+2+11+5+11+3+8+2+1</f>
        <v>58</v>
      </c>
      <c r="F123" s="45">
        <v>43544</v>
      </c>
      <c r="G123" s="113">
        <f t="shared" si="14"/>
        <v>1.0357142857142858</v>
      </c>
      <c r="H123" s="34">
        <f t="shared" si="15"/>
        <v>2</v>
      </c>
    </row>
    <row r="124" spans="1:8" ht="15.75">
      <c r="A124" s="18">
        <v>6</v>
      </c>
      <c r="B124" s="22" t="s">
        <v>96</v>
      </c>
      <c r="C124" s="23">
        <f>19+4</f>
        <v>23</v>
      </c>
      <c r="D124" s="23">
        <f>7+5</f>
        <v>12</v>
      </c>
      <c r="E124" s="23">
        <f>0</f>
        <v>0</v>
      </c>
      <c r="F124" s="45"/>
      <c r="G124" s="33">
        <f t="shared" si="14"/>
        <v>0</v>
      </c>
      <c r="H124" s="34">
        <f t="shared" si="15"/>
        <v>-12</v>
      </c>
    </row>
    <row r="125" spans="1:8" ht="15.75">
      <c r="A125" s="18">
        <v>113</v>
      </c>
      <c r="B125" s="22" t="s">
        <v>97</v>
      </c>
      <c r="C125" s="23">
        <f>2+12+13+10+10+15+9+7+4+6+3+1</f>
        <v>92</v>
      </c>
      <c r="D125" s="23">
        <f>1+9+8+8+8+10+8+6+10+7+8+4</f>
        <v>87</v>
      </c>
      <c r="E125" s="23">
        <v>88</v>
      </c>
      <c r="F125" s="24">
        <v>43648</v>
      </c>
      <c r="G125" s="33">
        <f t="shared" si="14"/>
        <v>1.0114942528735633</v>
      </c>
      <c r="H125" s="34">
        <f t="shared" si="15"/>
        <v>1</v>
      </c>
    </row>
    <row r="126" spans="1:8" ht="15.75">
      <c r="A126" s="18">
        <v>122</v>
      </c>
      <c r="B126" s="22" t="s">
        <v>124</v>
      </c>
      <c r="C126" s="23">
        <f>18+2+5+2</f>
        <v>27</v>
      </c>
      <c r="D126" s="23">
        <f>10+4+6+1+4+1</f>
        <v>26</v>
      </c>
      <c r="E126" s="23">
        <f>11+6+3</f>
        <v>20</v>
      </c>
      <c r="F126" s="24">
        <v>43563</v>
      </c>
      <c r="G126" s="33">
        <f t="shared" si="14"/>
        <v>0.7692307692307693</v>
      </c>
      <c r="H126" s="34">
        <f t="shared" si="15"/>
        <v>-6</v>
      </c>
    </row>
    <row r="127" spans="1:254" ht="15.75">
      <c r="A127" s="18">
        <v>194</v>
      </c>
      <c r="B127" s="22" t="s">
        <v>98</v>
      </c>
      <c r="C127" s="70">
        <f>72+8+5+2+1</f>
        <v>88</v>
      </c>
      <c r="D127" s="70">
        <f>66+6+6</f>
        <v>78</v>
      </c>
      <c r="E127" s="70">
        <f>74+11</f>
        <v>85</v>
      </c>
      <c r="F127" s="24">
        <v>43649</v>
      </c>
      <c r="G127" s="113">
        <f t="shared" si="14"/>
        <v>1.0897435897435896</v>
      </c>
      <c r="H127" s="34">
        <f t="shared" si="15"/>
        <v>7</v>
      </c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</row>
    <row r="128" spans="1:8" ht="15.75">
      <c r="A128" s="18">
        <v>227</v>
      </c>
      <c r="B128" s="22" t="s">
        <v>100</v>
      </c>
      <c r="C128" s="23">
        <f>7+11+14+11+11+13+11+3+2+1</f>
        <v>84</v>
      </c>
      <c r="D128" s="23">
        <f>18+10+13+6+11+8+3+8+1</f>
        <v>78</v>
      </c>
      <c r="E128" s="23">
        <v>86</v>
      </c>
      <c r="F128" s="45">
        <v>43643</v>
      </c>
      <c r="G128" s="113">
        <f>E128/D128</f>
        <v>1.1025641025641026</v>
      </c>
      <c r="H128" s="34">
        <f t="shared" si="15"/>
        <v>8</v>
      </c>
    </row>
    <row r="129" spans="1:8" ht="16.5" thickBot="1">
      <c r="A129" s="18">
        <v>331</v>
      </c>
      <c r="B129" s="22" t="s">
        <v>101</v>
      </c>
      <c r="C129" s="52">
        <f>5+15+1+4+7+3+5+4+2+2+4+4+3</f>
        <v>59</v>
      </c>
      <c r="D129" s="52">
        <f>3+3+5+1+3+4+5+5+3+3+1+1+9+3+8+2</f>
        <v>59</v>
      </c>
      <c r="E129" s="52">
        <f>8+10+5+3+3+10+2+3+3+5+7+2+1</f>
        <v>62</v>
      </c>
      <c r="F129" s="53">
        <v>43608</v>
      </c>
      <c r="G129" s="114">
        <f t="shared" si="14"/>
        <v>1.0508474576271187</v>
      </c>
      <c r="H129" s="42">
        <f t="shared" si="15"/>
        <v>3</v>
      </c>
    </row>
    <row r="130" spans="1:8" s="56" customFormat="1" ht="15.75">
      <c r="A130" s="18"/>
      <c r="B130" s="137" t="s">
        <v>7</v>
      </c>
      <c r="C130" s="46">
        <f>SUM(C122:C129)</f>
        <v>449</v>
      </c>
      <c r="D130" s="64">
        <f>SUM(D122:D129)</f>
        <v>443</v>
      </c>
      <c r="E130" s="64">
        <f>SUM(E122:E129)</f>
        <v>443</v>
      </c>
      <c r="F130" s="49"/>
      <c r="G130" s="29">
        <f t="shared" si="14"/>
        <v>1</v>
      </c>
      <c r="H130" s="63">
        <f>E130-D130</f>
        <v>0</v>
      </c>
    </row>
    <row r="131" spans="1:8" ht="15.75">
      <c r="A131" s="18"/>
      <c r="B131" s="19"/>
      <c r="C131" s="15"/>
      <c r="D131" s="15"/>
      <c r="E131" s="15"/>
      <c r="F131" s="25"/>
      <c r="G131" s="27"/>
      <c r="H131" s="18"/>
    </row>
    <row r="132" spans="1:8" ht="15.75">
      <c r="A132" s="18"/>
      <c r="B132" s="19"/>
      <c r="C132" s="15"/>
      <c r="D132" s="15"/>
      <c r="E132" s="15"/>
      <c r="F132" s="20" t="s">
        <v>22</v>
      </c>
      <c r="G132" s="18"/>
      <c r="H132" s="19" t="s">
        <v>2</v>
      </c>
    </row>
    <row r="133" spans="1:8" ht="16.5" thickBot="1">
      <c r="A133" s="18"/>
      <c r="B133" s="22" t="s">
        <v>18</v>
      </c>
      <c r="C133" s="46">
        <v>2017</v>
      </c>
      <c r="D133" s="121">
        <v>2018</v>
      </c>
      <c r="E133" s="121">
        <v>2019</v>
      </c>
      <c r="F133" s="20" t="s">
        <v>34</v>
      </c>
      <c r="G133" s="46" t="s">
        <v>1</v>
      </c>
      <c r="H133" s="48">
        <v>1</v>
      </c>
    </row>
    <row r="134" spans="1:8" ht="15.75">
      <c r="A134" s="18">
        <v>1</v>
      </c>
      <c r="B134" s="67" t="s">
        <v>151</v>
      </c>
      <c r="C134" s="132"/>
      <c r="D134" s="133"/>
      <c r="E134" s="138">
        <v>2</v>
      </c>
      <c r="F134" s="134">
        <v>43487</v>
      </c>
      <c r="G134" s="139" t="e">
        <f>E134/D134</f>
        <v>#DIV/0!</v>
      </c>
      <c r="H134" s="140">
        <f>E134-D134</f>
        <v>2</v>
      </c>
    </row>
    <row r="135" spans="1:8" ht="15.75">
      <c r="A135" s="18">
        <v>121</v>
      </c>
      <c r="B135" s="22" t="s">
        <v>102</v>
      </c>
      <c r="C135" s="90">
        <f>3+2+1+2+1+1+1+2+1+1</f>
        <v>15</v>
      </c>
      <c r="D135" s="90">
        <f>5+1+1+1+1+1+3+1+2+1+1</f>
        <v>18</v>
      </c>
      <c r="E135" s="90">
        <f>1+2+1+4+1+1+6+1+1</f>
        <v>18</v>
      </c>
      <c r="F135" s="91">
        <v>43544</v>
      </c>
      <c r="G135" s="115">
        <f aca="true" t="shared" si="16" ref="G135:G144">E135/D135</f>
        <v>1</v>
      </c>
      <c r="H135" s="131">
        <f aca="true" t="shared" si="17" ref="H135:H143">E135-D135</f>
        <v>0</v>
      </c>
    </row>
    <row r="136" spans="1:8" ht="15.75">
      <c r="A136" s="18">
        <v>222</v>
      </c>
      <c r="B136" s="22" t="s">
        <v>103</v>
      </c>
      <c r="C136" s="135">
        <f>5</f>
        <v>5</v>
      </c>
      <c r="D136" s="100">
        <f>3+2</f>
        <v>5</v>
      </c>
      <c r="E136" s="100">
        <f>2+1+2+1+5</f>
        <v>11</v>
      </c>
      <c r="F136" s="58">
        <v>43628</v>
      </c>
      <c r="G136" s="113">
        <f t="shared" si="16"/>
        <v>2.2</v>
      </c>
      <c r="H136" s="34">
        <f t="shared" si="17"/>
        <v>6</v>
      </c>
    </row>
    <row r="137" spans="1:8" ht="15.75">
      <c r="A137" s="18">
        <v>228</v>
      </c>
      <c r="B137" s="67" t="s">
        <v>130</v>
      </c>
      <c r="C137" s="31">
        <f>8+1+1+1+2+2+3+2+1+1+1+2+1+1+2+4+2</f>
        <v>35</v>
      </c>
      <c r="D137" s="31">
        <f>11+6+2+4+4+3+1</f>
        <v>31</v>
      </c>
      <c r="E137" s="31">
        <f>17+10+2+2+23+6+6+7+2</f>
        <v>75</v>
      </c>
      <c r="F137" s="79">
        <v>43615</v>
      </c>
      <c r="G137" s="113">
        <f t="shared" si="16"/>
        <v>2.4193548387096775</v>
      </c>
      <c r="H137" s="34">
        <f t="shared" si="17"/>
        <v>44</v>
      </c>
    </row>
    <row r="138" spans="1:9" ht="15.75">
      <c r="A138" s="18">
        <v>302</v>
      </c>
      <c r="B138" s="22" t="s">
        <v>104</v>
      </c>
      <c r="C138" s="31">
        <f>55+5</f>
        <v>60</v>
      </c>
      <c r="D138" s="100">
        <f>13+6+5+3+3+1+1+1+1+1</f>
        <v>35</v>
      </c>
      <c r="E138" s="100">
        <v>40</v>
      </c>
      <c r="F138" s="24">
        <v>43643</v>
      </c>
      <c r="G138" s="113">
        <f t="shared" si="16"/>
        <v>1.1428571428571428</v>
      </c>
      <c r="H138" s="34">
        <f t="shared" si="17"/>
        <v>5</v>
      </c>
      <c r="I138" s="29"/>
    </row>
    <row r="139" spans="1:8" ht="15.75">
      <c r="A139" s="18">
        <v>303</v>
      </c>
      <c r="B139" s="22" t="s">
        <v>30</v>
      </c>
      <c r="C139" s="31">
        <f>13+1+1+1</f>
        <v>16</v>
      </c>
      <c r="D139" s="100">
        <f>15+1</f>
        <v>16</v>
      </c>
      <c r="E139" s="100">
        <v>19</v>
      </c>
      <c r="F139" s="24">
        <v>43578</v>
      </c>
      <c r="G139" s="113">
        <f t="shared" si="16"/>
        <v>1.1875</v>
      </c>
      <c r="H139" s="34">
        <f t="shared" si="17"/>
        <v>3</v>
      </c>
    </row>
    <row r="140" spans="1:8" ht="15.75">
      <c r="A140" s="18">
        <v>311</v>
      </c>
      <c r="B140" s="22" t="s">
        <v>105</v>
      </c>
      <c r="C140" s="31">
        <f>10+15</f>
        <v>25</v>
      </c>
      <c r="D140" s="117">
        <v>28</v>
      </c>
      <c r="E140" s="117">
        <f>28</f>
        <v>28</v>
      </c>
      <c r="F140" s="24">
        <v>43517</v>
      </c>
      <c r="G140" s="113">
        <f t="shared" si="16"/>
        <v>1</v>
      </c>
      <c r="H140" s="34">
        <f t="shared" si="17"/>
        <v>0</v>
      </c>
    </row>
    <row r="141" spans="1:8" ht="15.75">
      <c r="A141" s="18">
        <v>312</v>
      </c>
      <c r="B141" s="22" t="s">
        <v>106</v>
      </c>
      <c r="C141" s="31">
        <f>7+12+2+3+2+2+2+4+4+1+4+1+1</f>
        <v>45</v>
      </c>
      <c r="D141" s="101">
        <v>33</v>
      </c>
      <c r="E141" s="101">
        <v>27</v>
      </c>
      <c r="F141" s="24">
        <v>43601</v>
      </c>
      <c r="G141" s="33">
        <f t="shared" si="16"/>
        <v>0.8181818181818182</v>
      </c>
      <c r="H141" s="34">
        <f t="shared" si="17"/>
        <v>-6</v>
      </c>
    </row>
    <row r="142" spans="1:8" ht="15.75">
      <c r="A142" s="18">
        <v>314</v>
      </c>
      <c r="B142" s="22" t="s">
        <v>107</v>
      </c>
      <c r="C142" s="135">
        <f>9+5+15+13+3+2</f>
        <v>47</v>
      </c>
      <c r="D142" s="102">
        <f>13+15</f>
        <v>28</v>
      </c>
      <c r="E142" s="102">
        <f>0</f>
        <v>0</v>
      </c>
      <c r="F142" s="24"/>
      <c r="G142" s="33">
        <f t="shared" si="16"/>
        <v>0</v>
      </c>
      <c r="H142" s="34">
        <f t="shared" si="17"/>
        <v>-28</v>
      </c>
    </row>
    <row r="143" spans="1:8" ht="16.5" thickBot="1">
      <c r="A143" s="18">
        <v>405</v>
      </c>
      <c r="B143" s="22" t="s">
        <v>122</v>
      </c>
      <c r="C143" s="136">
        <f>27</f>
        <v>27</v>
      </c>
      <c r="D143" s="52">
        <f>30</f>
        <v>30</v>
      </c>
      <c r="E143" s="52">
        <f>30</f>
        <v>30</v>
      </c>
      <c r="F143" s="53">
        <v>43479</v>
      </c>
      <c r="G143" s="114">
        <f t="shared" si="16"/>
        <v>1</v>
      </c>
      <c r="H143" s="42">
        <f t="shared" si="17"/>
        <v>0</v>
      </c>
    </row>
    <row r="144" spans="1:8" s="56" customFormat="1" ht="15.75">
      <c r="A144" s="18"/>
      <c r="B144" s="22" t="s">
        <v>7</v>
      </c>
      <c r="C144" s="46">
        <f>SUM(C135:C143)</f>
        <v>275</v>
      </c>
      <c r="D144" s="46">
        <f>SUM(D135:D143)</f>
        <v>224</v>
      </c>
      <c r="E144" s="46">
        <f>SUM(E134:E143)</f>
        <v>250</v>
      </c>
      <c r="F144" s="49"/>
      <c r="G144" s="129">
        <f t="shared" si="16"/>
        <v>1.1160714285714286</v>
      </c>
      <c r="H144" s="63">
        <f>E144-D144</f>
        <v>26</v>
      </c>
    </row>
    <row r="145" spans="1:8" ht="15.75">
      <c r="A145" s="18"/>
      <c r="B145" s="22"/>
      <c r="C145" s="15"/>
      <c r="D145" s="15"/>
      <c r="E145" s="15"/>
      <c r="F145" s="25"/>
      <c r="G145" s="26"/>
      <c r="H145" s="13"/>
    </row>
    <row r="146" spans="1:8" ht="15.75">
      <c r="A146" s="18"/>
      <c r="B146" s="22"/>
      <c r="C146" s="15"/>
      <c r="D146" s="15"/>
      <c r="E146" s="15"/>
      <c r="F146" s="20" t="s">
        <v>22</v>
      </c>
      <c r="G146" s="18"/>
      <c r="H146" s="19" t="s">
        <v>2</v>
      </c>
    </row>
    <row r="147" spans="1:8" ht="16.5" thickBot="1">
      <c r="A147" s="18"/>
      <c r="B147" s="22" t="s">
        <v>19</v>
      </c>
      <c r="C147" s="40">
        <v>2017</v>
      </c>
      <c r="D147" s="121">
        <v>2018</v>
      </c>
      <c r="E147" s="121">
        <v>2019</v>
      </c>
      <c r="F147" s="44" t="s">
        <v>34</v>
      </c>
      <c r="G147" s="40" t="s">
        <v>1</v>
      </c>
      <c r="H147" s="41">
        <v>1</v>
      </c>
    </row>
    <row r="148" spans="1:8" ht="15.75">
      <c r="A148" s="18">
        <v>22</v>
      </c>
      <c r="B148" s="22" t="s">
        <v>108</v>
      </c>
      <c r="C148" s="68">
        <f>12+12+11</f>
        <v>35</v>
      </c>
      <c r="D148" s="68">
        <f>20+11+6+6+5+1+1</f>
        <v>50</v>
      </c>
      <c r="E148" s="68">
        <v>54</v>
      </c>
      <c r="F148" s="58">
        <v>43558</v>
      </c>
      <c r="G148" s="113">
        <f aca="true" t="shared" si="18" ref="G148:G162">E148/D148</f>
        <v>1.08</v>
      </c>
      <c r="H148" s="34">
        <f aca="true" t="shared" si="19" ref="H148:H161">E148-D148</f>
        <v>4</v>
      </c>
    </row>
    <row r="149" spans="1:254" ht="15.75">
      <c r="A149" s="18">
        <v>40</v>
      </c>
      <c r="B149" s="22" t="s">
        <v>109</v>
      </c>
      <c r="C149" s="69">
        <f>15+5+17+10+55+46+33+28+2+6+1+2</f>
        <v>220</v>
      </c>
      <c r="D149" s="105">
        <f>43+15+11+53+3+5+2+6+20+4+6+27+9+1+2+3+5+1+1+1+1</f>
        <v>219</v>
      </c>
      <c r="E149" s="105">
        <v>214</v>
      </c>
      <c r="F149" s="24">
        <v>43578</v>
      </c>
      <c r="G149" s="33">
        <f t="shared" si="18"/>
        <v>0.9771689497716894</v>
      </c>
      <c r="H149" s="34">
        <f t="shared" si="19"/>
        <v>-5</v>
      </c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</row>
    <row r="150" spans="1:8" ht="15.75">
      <c r="A150" s="18">
        <v>64</v>
      </c>
      <c r="B150" s="22" t="s">
        <v>110</v>
      </c>
      <c r="C150" s="69">
        <f>14+6+1+2+1+1+1+1</f>
        <v>27</v>
      </c>
      <c r="D150" s="110">
        <f>16+8+1+2+1+1+1+1</f>
        <v>31</v>
      </c>
      <c r="E150" s="110">
        <f>16+11+3+2</f>
        <v>32</v>
      </c>
      <c r="F150" s="24">
        <v>43391</v>
      </c>
      <c r="G150" s="113">
        <f t="shared" si="18"/>
        <v>1.032258064516129</v>
      </c>
      <c r="H150" s="34">
        <f t="shared" si="19"/>
        <v>1</v>
      </c>
    </row>
    <row r="151" spans="1:8" ht="15.75">
      <c r="A151" s="18">
        <v>82</v>
      </c>
      <c r="B151" s="22" t="s">
        <v>31</v>
      </c>
      <c r="C151" s="69">
        <f>24+17+14+4+2+2+2</f>
        <v>65</v>
      </c>
      <c r="D151" s="105">
        <f>14+24+19+8+1</f>
        <v>66</v>
      </c>
      <c r="E151" s="105">
        <v>65</v>
      </c>
      <c r="F151" s="24">
        <v>43601</v>
      </c>
      <c r="G151" s="116">
        <f t="shared" si="18"/>
        <v>0.9848484848484849</v>
      </c>
      <c r="H151" s="34">
        <f t="shared" si="19"/>
        <v>-1</v>
      </c>
    </row>
    <row r="152" spans="1:8" ht="15.75">
      <c r="A152" s="18">
        <v>88</v>
      </c>
      <c r="B152" s="22" t="s">
        <v>111</v>
      </c>
      <c r="C152" s="69">
        <v>15</v>
      </c>
      <c r="D152" s="105">
        <f>15</f>
        <v>15</v>
      </c>
      <c r="E152" s="105">
        <f>6+6</f>
        <v>12</v>
      </c>
      <c r="F152" s="45">
        <v>43332</v>
      </c>
      <c r="G152" s="116">
        <f t="shared" si="18"/>
        <v>0.8</v>
      </c>
      <c r="H152" s="34">
        <f t="shared" si="19"/>
        <v>-3</v>
      </c>
    </row>
    <row r="153" spans="1:8" ht="15.75">
      <c r="A153" s="18">
        <v>112</v>
      </c>
      <c r="B153" s="22" t="s">
        <v>112</v>
      </c>
      <c r="C153" s="69">
        <f>20+16</f>
        <v>36</v>
      </c>
      <c r="D153" s="105">
        <f>15+13+7+2</f>
        <v>37</v>
      </c>
      <c r="E153" s="105">
        <v>38</v>
      </c>
      <c r="F153" s="24">
        <v>43547</v>
      </c>
      <c r="G153" s="113">
        <f t="shared" si="18"/>
        <v>1.027027027027027</v>
      </c>
      <c r="H153" s="34">
        <f t="shared" si="19"/>
        <v>1</v>
      </c>
    </row>
    <row r="154" spans="1:8" ht="15.75">
      <c r="A154" s="18">
        <v>144</v>
      </c>
      <c r="B154" s="67" t="s">
        <v>149</v>
      </c>
      <c r="C154" s="69"/>
      <c r="D154" s="105"/>
      <c r="E154" s="105">
        <f>8</f>
        <v>8</v>
      </c>
      <c r="F154" s="24">
        <v>43465</v>
      </c>
      <c r="G154" s="33" t="e">
        <f t="shared" si="18"/>
        <v>#DIV/0!</v>
      </c>
      <c r="H154" s="34">
        <f t="shared" si="19"/>
        <v>8</v>
      </c>
    </row>
    <row r="155" spans="1:8" ht="15.75">
      <c r="A155" s="18">
        <v>149</v>
      </c>
      <c r="B155" s="22" t="s">
        <v>32</v>
      </c>
      <c r="C155" s="69">
        <f>2+56+3</f>
        <v>61</v>
      </c>
      <c r="D155" s="105">
        <f>22+10+5+4</f>
        <v>41</v>
      </c>
      <c r="E155" s="105">
        <f>16+16+7+6</f>
        <v>45</v>
      </c>
      <c r="F155" s="24">
        <v>43587</v>
      </c>
      <c r="G155" s="113">
        <f t="shared" si="18"/>
        <v>1.0975609756097562</v>
      </c>
      <c r="H155" s="34">
        <f t="shared" si="19"/>
        <v>4</v>
      </c>
    </row>
    <row r="156" spans="1:8" ht="15.75">
      <c r="A156" s="18">
        <v>188</v>
      </c>
      <c r="B156" s="22" t="s">
        <v>113</v>
      </c>
      <c r="C156" s="69">
        <f>24+24+23+24+20+13+3</f>
        <v>131</v>
      </c>
      <c r="D156" s="105">
        <f>18+24+23+24+24+24+9+2</f>
        <v>148</v>
      </c>
      <c r="E156" s="105">
        <v>171</v>
      </c>
      <c r="F156" s="24">
        <v>43573</v>
      </c>
      <c r="G156" s="116">
        <f t="shared" si="18"/>
        <v>1.1554054054054055</v>
      </c>
      <c r="H156" s="34">
        <f t="shared" si="19"/>
        <v>23</v>
      </c>
    </row>
    <row r="157" spans="1:8" ht="15.75">
      <c r="A157" s="18">
        <v>192</v>
      </c>
      <c r="B157" s="22" t="s">
        <v>114</v>
      </c>
      <c r="C157" s="69">
        <f>6</f>
        <v>6</v>
      </c>
      <c r="D157" s="105">
        <f>3+1+2</f>
        <v>6</v>
      </c>
      <c r="E157" s="105">
        <f>1</f>
        <v>1</v>
      </c>
      <c r="F157" s="24">
        <v>43538</v>
      </c>
      <c r="G157" s="116">
        <f t="shared" si="18"/>
        <v>0.16666666666666666</v>
      </c>
      <c r="H157" s="34">
        <f t="shared" si="19"/>
        <v>-5</v>
      </c>
    </row>
    <row r="158" spans="1:8" ht="15.75">
      <c r="A158" s="18">
        <v>220</v>
      </c>
      <c r="B158" s="22" t="s">
        <v>115</v>
      </c>
      <c r="C158" s="69">
        <f>8</f>
        <v>8</v>
      </c>
      <c r="D158" s="105">
        <f>7</f>
        <v>7</v>
      </c>
      <c r="E158" s="105">
        <f>7</f>
        <v>7</v>
      </c>
      <c r="F158" s="24">
        <v>43350</v>
      </c>
      <c r="G158" s="113">
        <f t="shared" si="18"/>
        <v>1</v>
      </c>
      <c r="H158" s="34">
        <f t="shared" si="19"/>
        <v>0</v>
      </c>
    </row>
    <row r="159" spans="1:8" ht="15.75">
      <c r="A159" s="18">
        <v>226</v>
      </c>
      <c r="B159" s="22" t="s">
        <v>116</v>
      </c>
      <c r="C159" s="69">
        <f>24+8+5+1</f>
        <v>38</v>
      </c>
      <c r="D159" s="105">
        <f>3+3+2+5+3+2+1+1+1+2+1</f>
        <v>24</v>
      </c>
      <c r="E159" s="105">
        <f>15+1+8</f>
        <v>24</v>
      </c>
      <c r="F159" s="24">
        <v>43587</v>
      </c>
      <c r="G159" s="113">
        <f t="shared" si="18"/>
        <v>1</v>
      </c>
      <c r="H159" s="34">
        <f t="shared" si="19"/>
        <v>0</v>
      </c>
    </row>
    <row r="160" spans="1:8" ht="15.75">
      <c r="A160" s="18">
        <v>257</v>
      </c>
      <c r="B160" s="22" t="s">
        <v>117</v>
      </c>
      <c r="C160" s="98">
        <f>4+3+1+2+1</f>
        <v>11</v>
      </c>
      <c r="D160" s="98">
        <f>3+3+6+1</f>
        <v>13</v>
      </c>
      <c r="E160" s="98">
        <f>4+2+6</f>
        <v>12</v>
      </c>
      <c r="F160" s="24">
        <v>43479</v>
      </c>
      <c r="G160" s="116">
        <f t="shared" si="18"/>
        <v>0.9230769230769231</v>
      </c>
      <c r="H160" s="34">
        <f t="shared" si="19"/>
        <v>-1</v>
      </c>
    </row>
    <row r="161" spans="1:254" ht="15" customHeight="1" thickBot="1">
      <c r="A161" s="18">
        <v>387</v>
      </c>
      <c r="B161" s="22" t="s">
        <v>118</v>
      </c>
      <c r="C161" s="52">
        <f>13+11</f>
        <v>24</v>
      </c>
      <c r="D161" s="52">
        <f>14+5+3+1</f>
        <v>23</v>
      </c>
      <c r="E161" s="52">
        <f>0</f>
        <v>0</v>
      </c>
      <c r="F161" s="53"/>
      <c r="G161" s="36">
        <f t="shared" si="18"/>
        <v>0</v>
      </c>
      <c r="H161" s="42">
        <f t="shared" si="19"/>
        <v>-23</v>
      </c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</row>
    <row r="162" spans="1:8" s="56" customFormat="1" ht="15.75">
      <c r="A162" s="18" t="s">
        <v>0</v>
      </c>
      <c r="B162" s="22" t="s">
        <v>7</v>
      </c>
      <c r="C162" s="46">
        <f>SUM(C148:C161)</f>
        <v>677</v>
      </c>
      <c r="D162" s="46">
        <f>SUM(D148:D161)</f>
        <v>680</v>
      </c>
      <c r="E162" s="46">
        <f>SUM(E148:E161)</f>
        <v>683</v>
      </c>
      <c r="F162" s="49"/>
      <c r="G162" s="29">
        <f t="shared" si="18"/>
        <v>1.0044117647058823</v>
      </c>
      <c r="H162" s="63">
        <f>E162-D162</f>
        <v>3</v>
      </c>
    </row>
    <row r="163" spans="1:8" ht="15.75">
      <c r="A163" s="18"/>
      <c r="B163" s="22"/>
      <c r="C163" s="19"/>
      <c r="D163" s="19"/>
      <c r="E163" s="19"/>
      <c r="F163" s="20" t="s">
        <v>0</v>
      </c>
      <c r="G163" s="27"/>
      <c r="H163" s="13" t="s">
        <v>0</v>
      </c>
    </row>
    <row r="164" spans="1:8" ht="15.75">
      <c r="A164" s="18"/>
      <c r="B164" s="66" t="s">
        <v>148</v>
      </c>
      <c r="C164" s="15"/>
      <c r="D164" s="15"/>
      <c r="E164" s="15"/>
      <c r="F164" s="16"/>
      <c r="G164" s="13"/>
      <c r="H164" s="13"/>
    </row>
    <row r="165" spans="1:8" ht="16.5" thickBot="1">
      <c r="A165" s="18"/>
      <c r="B165" s="19" t="s">
        <v>33</v>
      </c>
      <c r="C165" s="46">
        <v>2017</v>
      </c>
      <c r="D165" s="19">
        <v>2018</v>
      </c>
      <c r="E165" s="121">
        <v>2019</v>
      </c>
      <c r="F165" s="20" t="s">
        <v>1</v>
      </c>
      <c r="G165" s="41">
        <v>1</v>
      </c>
      <c r="H165" s="13"/>
    </row>
    <row r="166" spans="1:8" ht="15.75">
      <c r="A166" s="18"/>
      <c r="B166" s="19">
        <v>1</v>
      </c>
      <c r="C166" s="50">
        <f>SUM(C12)</f>
        <v>190</v>
      </c>
      <c r="D166" s="50">
        <f>SUM(D12)</f>
        <v>189</v>
      </c>
      <c r="E166" s="50">
        <f>SUM(E12)</f>
        <v>191</v>
      </c>
      <c r="F166" s="143">
        <f>E166/D166</f>
        <v>1.0105820105820107</v>
      </c>
      <c r="G166" s="72">
        <f>E166-D166</f>
        <v>2</v>
      </c>
      <c r="H166" s="30"/>
    </row>
    <row r="167" spans="1:8" ht="15.75">
      <c r="A167" s="18"/>
      <c r="B167" s="19">
        <v>2</v>
      </c>
      <c r="C167" s="23">
        <f>SUM(C24)</f>
        <v>245</v>
      </c>
      <c r="D167" s="23">
        <f>SUM(D24)</f>
        <v>270</v>
      </c>
      <c r="E167" s="23">
        <f>SUM(E24)</f>
        <v>292</v>
      </c>
      <c r="F167" s="118">
        <f aca="true" t="shared" si="20" ref="F167:F176">E167/D167</f>
        <v>1.0814814814814815</v>
      </c>
      <c r="G167" s="72">
        <f aca="true" t="shared" si="21" ref="G167:G176">E167-D167</f>
        <v>22</v>
      </c>
      <c r="H167" s="30"/>
    </row>
    <row r="168" spans="1:8" ht="15.75">
      <c r="A168" s="18"/>
      <c r="B168" s="19">
        <v>3</v>
      </c>
      <c r="C168" s="23">
        <f>SUM(C35)</f>
        <v>423</v>
      </c>
      <c r="D168" s="23">
        <f>SUM(D35)</f>
        <v>447</v>
      </c>
      <c r="E168" s="23">
        <f>SUM(E35)</f>
        <v>443</v>
      </c>
      <c r="F168" s="106">
        <f t="shared" si="20"/>
        <v>0.9910514541387024</v>
      </c>
      <c r="G168" s="72">
        <f t="shared" si="21"/>
        <v>-4</v>
      </c>
      <c r="H168" s="30"/>
    </row>
    <row r="169" spans="1:8" ht="15.75">
      <c r="A169" s="18"/>
      <c r="B169" s="19">
        <v>4</v>
      </c>
      <c r="C169" s="23">
        <f>SUM(C60)</f>
        <v>1094</v>
      </c>
      <c r="D169" s="23">
        <f>SUM(D60)</f>
        <v>1094</v>
      </c>
      <c r="E169" s="23">
        <f>SUM(E60)</f>
        <v>990</v>
      </c>
      <c r="F169" s="106">
        <f t="shared" si="20"/>
        <v>0.9049360146252285</v>
      </c>
      <c r="G169" s="72">
        <f t="shared" si="21"/>
        <v>-104</v>
      </c>
      <c r="H169" s="30"/>
    </row>
    <row r="170" spans="1:8" ht="15.75">
      <c r="A170" s="18"/>
      <c r="B170" s="19">
        <v>5</v>
      </c>
      <c r="C170" s="23">
        <f>SUM(C91)</f>
        <v>1481</v>
      </c>
      <c r="D170" s="23">
        <f>SUM(D91)</f>
        <v>1281</v>
      </c>
      <c r="E170" s="23">
        <f>SUM(E91)</f>
        <v>1328</v>
      </c>
      <c r="F170" s="61">
        <f t="shared" si="20"/>
        <v>1.0366900858704138</v>
      </c>
      <c r="G170" s="72">
        <f t="shared" si="21"/>
        <v>47</v>
      </c>
      <c r="H170" s="30"/>
    </row>
    <row r="171" spans="1:8" ht="15.75">
      <c r="A171" s="18"/>
      <c r="B171" s="19">
        <v>6</v>
      </c>
      <c r="C171" s="23">
        <f>SUM(C108)</f>
        <v>835</v>
      </c>
      <c r="D171" s="23">
        <f>SUM(D108)</f>
        <v>792</v>
      </c>
      <c r="E171" s="23">
        <f>SUM(E108)</f>
        <v>869</v>
      </c>
      <c r="F171" s="118">
        <f t="shared" si="20"/>
        <v>1.0972222222222223</v>
      </c>
      <c r="G171" s="72">
        <f t="shared" si="21"/>
        <v>77</v>
      </c>
      <c r="H171" s="30"/>
    </row>
    <row r="172" spans="1:8" ht="15.75">
      <c r="A172" s="18"/>
      <c r="B172" s="19">
        <v>7</v>
      </c>
      <c r="C172" s="23">
        <f>SUM(C118)</f>
        <v>118</v>
      </c>
      <c r="D172" s="23">
        <f>SUM(D118)</f>
        <v>122</v>
      </c>
      <c r="E172" s="23">
        <f>SUM(E118)</f>
        <v>135</v>
      </c>
      <c r="F172" s="118">
        <f t="shared" si="20"/>
        <v>1.1065573770491803</v>
      </c>
      <c r="G172" s="72">
        <f t="shared" si="21"/>
        <v>13</v>
      </c>
      <c r="H172" s="30"/>
    </row>
    <row r="173" spans="1:8" ht="15.75">
      <c r="A173" s="18"/>
      <c r="B173" s="19">
        <v>8</v>
      </c>
      <c r="C173" s="23">
        <f>SUM(C130)</f>
        <v>449</v>
      </c>
      <c r="D173" s="23">
        <f>SUM(D130)</f>
        <v>443</v>
      </c>
      <c r="E173" s="23">
        <f>SUM(E130)</f>
        <v>443</v>
      </c>
      <c r="F173" s="61">
        <f t="shared" si="20"/>
        <v>1</v>
      </c>
      <c r="G173" s="72">
        <f t="shared" si="21"/>
        <v>0</v>
      </c>
      <c r="H173" s="30"/>
    </row>
    <row r="174" spans="1:8" ht="15.75">
      <c r="A174" s="18"/>
      <c r="B174" s="19">
        <v>9</v>
      </c>
      <c r="C174" s="71">
        <f>SUM(C144)</f>
        <v>275</v>
      </c>
      <c r="D174" s="71">
        <f>SUM(D144)</f>
        <v>224</v>
      </c>
      <c r="E174" s="71">
        <f>SUM(E144)</f>
        <v>250</v>
      </c>
      <c r="F174" s="118">
        <f t="shared" si="20"/>
        <v>1.1160714285714286</v>
      </c>
      <c r="G174" s="72">
        <f t="shared" si="21"/>
        <v>26</v>
      </c>
      <c r="H174" s="30"/>
    </row>
    <row r="175" spans="1:8" ht="16.5" thickBot="1">
      <c r="A175" s="18"/>
      <c r="B175" s="19">
        <v>10</v>
      </c>
      <c r="C175" s="52">
        <f>SUM(C162)</f>
        <v>677</v>
      </c>
      <c r="D175" s="52">
        <f>SUM(D162)</f>
        <v>680</v>
      </c>
      <c r="E175" s="52">
        <f>SUM(E162)</f>
        <v>683</v>
      </c>
      <c r="F175" s="107">
        <f t="shared" si="20"/>
        <v>1.0044117647058823</v>
      </c>
      <c r="G175" s="108">
        <f t="shared" si="21"/>
        <v>3</v>
      </c>
      <c r="H175" s="30"/>
    </row>
    <row r="176" spans="1:8" s="56" customFormat="1" ht="15.75">
      <c r="A176" s="18"/>
      <c r="B176" s="22" t="s">
        <v>20</v>
      </c>
      <c r="C176" s="46">
        <f>SUM(C166:C175)</f>
        <v>5787</v>
      </c>
      <c r="D176" s="46">
        <f>SUM(D166:D175)</f>
        <v>5542</v>
      </c>
      <c r="E176" s="46">
        <f>SUM(E166:E175)</f>
        <v>5624</v>
      </c>
      <c r="F176" s="129">
        <f t="shared" si="20"/>
        <v>1.0147961024900758</v>
      </c>
      <c r="G176" s="109">
        <f t="shared" si="21"/>
        <v>82</v>
      </c>
      <c r="H176" s="18"/>
    </row>
    <row r="177" spans="1:8" s="56" customFormat="1" ht="15.75">
      <c r="A177" s="18"/>
      <c r="B177" s="22"/>
      <c r="C177" s="46"/>
      <c r="D177" s="46"/>
      <c r="E177" s="46"/>
      <c r="F177" s="128"/>
      <c r="G177" s="109"/>
      <c r="H177" s="18"/>
    </row>
    <row r="178" spans="1:8" s="56" customFormat="1" ht="15.75">
      <c r="A178" s="18"/>
      <c r="B178" s="67" t="str">
        <f>B4</f>
        <v>                                               Next Target Date: 7/24/2019    105%</v>
      </c>
      <c r="C178" s="46"/>
      <c r="D178" s="46"/>
      <c r="E178" s="46"/>
      <c r="F178" s="62"/>
      <c r="G178" s="63"/>
      <c r="H178" s="18"/>
    </row>
    <row r="179" spans="1:8" s="56" customFormat="1" ht="15.75">
      <c r="A179" s="18"/>
      <c r="B179" s="67"/>
      <c r="C179" s="46"/>
      <c r="D179" s="46"/>
      <c r="E179" s="46"/>
      <c r="F179" s="62"/>
      <c r="G179" s="63"/>
      <c r="H179" s="18"/>
    </row>
    <row r="180" spans="1:8" ht="15.75">
      <c r="A180" s="18"/>
      <c r="B180" s="73" t="s">
        <v>129</v>
      </c>
      <c r="C180" s="54"/>
      <c r="D180" s="54"/>
      <c r="E180" s="54"/>
      <c r="F180" s="54"/>
      <c r="G180" s="54"/>
      <c r="H180" s="73"/>
    </row>
    <row r="181" spans="1:8" ht="18">
      <c r="A181" s="65"/>
      <c r="B181" s="323" t="s">
        <v>146</v>
      </c>
      <c r="C181" s="323"/>
      <c r="D181" s="323"/>
      <c r="E181" s="323"/>
      <c r="F181" s="323"/>
      <c r="G181" s="1" t="s">
        <v>0</v>
      </c>
      <c r="H181" s="1" t="s">
        <v>0</v>
      </c>
    </row>
    <row r="182" spans="1:8" ht="18">
      <c r="A182" s="65"/>
      <c r="B182" s="73" t="s">
        <v>147</v>
      </c>
      <c r="C182" s="74"/>
      <c r="D182" s="74"/>
      <c r="E182" s="74"/>
      <c r="F182" s="76"/>
      <c r="G182" s="75"/>
      <c r="H182" s="77"/>
    </row>
    <row r="183" spans="1:8" ht="15.75">
      <c r="A183" s="18"/>
      <c r="B183" s="1" t="s">
        <v>0</v>
      </c>
      <c r="C183" s="74"/>
      <c r="D183" s="74"/>
      <c r="E183" s="74"/>
      <c r="F183" s="78"/>
      <c r="G183" s="75"/>
      <c r="H183" s="75"/>
    </row>
    <row r="184" spans="1:8" ht="15.75">
      <c r="A184" s="18"/>
      <c r="B184" s="19"/>
      <c r="C184" s="2"/>
      <c r="D184" s="2"/>
      <c r="E184" s="2"/>
      <c r="F184" s="8"/>
      <c r="G184" s="7"/>
      <c r="H184" s="7"/>
    </row>
    <row r="185" spans="1:8" ht="15.75">
      <c r="A185" s="18"/>
      <c r="B185" s="19"/>
      <c r="C185" s="2"/>
      <c r="D185" s="2"/>
      <c r="E185" s="2"/>
      <c r="F185" s="8"/>
      <c r="G185" s="7"/>
      <c r="H185" s="7"/>
    </row>
    <row r="186" spans="1:8" ht="15.75">
      <c r="A186" s="18"/>
      <c r="B186" s="22"/>
      <c r="C186" s="5"/>
      <c r="D186" s="5"/>
      <c r="E186" s="5"/>
      <c r="F186" s="8"/>
      <c r="G186" s="7"/>
      <c r="H186" s="9"/>
    </row>
    <row r="187" spans="1:8" ht="15.75">
      <c r="A187" s="18"/>
      <c r="B187" s="22"/>
      <c r="C187" s="2"/>
      <c r="D187" s="2"/>
      <c r="E187" s="2"/>
      <c r="F187" s="11"/>
      <c r="G187" s="12"/>
      <c r="H187" s="10"/>
    </row>
    <row r="188" spans="1:8" ht="15.75">
      <c r="A188" s="18"/>
      <c r="B188" s="22"/>
      <c r="C188" s="2"/>
      <c r="D188" s="2"/>
      <c r="E188" s="2"/>
      <c r="F188" s="11"/>
      <c r="G188" s="12"/>
      <c r="H188" s="10"/>
    </row>
    <row r="189" spans="1:8" ht="15.75">
      <c r="A189" s="18"/>
      <c r="B189" s="22"/>
      <c r="C189" s="2"/>
      <c r="D189" s="2"/>
      <c r="E189" s="2"/>
      <c r="F189" s="11"/>
      <c r="G189" s="12"/>
      <c r="H189" s="10"/>
    </row>
    <row r="190" spans="1:8" ht="15.75">
      <c r="A190" s="18"/>
      <c r="B190" s="22"/>
      <c r="C190" s="2"/>
      <c r="D190" s="2"/>
      <c r="E190" s="2"/>
      <c r="F190" s="11"/>
      <c r="G190" s="12"/>
      <c r="H190" s="10"/>
    </row>
    <row r="191" spans="1:8" ht="15.75">
      <c r="A191" s="18"/>
      <c r="B191" s="22"/>
      <c r="C191" s="2"/>
      <c r="D191" s="2"/>
      <c r="E191" s="2"/>
      <c r="F191" s="11"/>
      <c r="G191" s="12"/>
      <c r="H191" s="10"/>
    </row>
    <row r="192" spans="1:8" ht="15.75">
      <c r="A192" s="18"/>
      <c r="B192" s="22"/>
      <c r="C192" s="2"/>
      <c r="D192" s="2"/>
      <c r="E192" s="2"/>
      <c r="F192" s="11"/>
      <c r="G192" s="12"/>
      <c r="H192" s="10"/>
    </row>
    <row r="193" spans="1:8" ht="15.75">
      <c r="A193" s="18"/>
      <c r="B193" s="22"/>
      <c r="C193" s="2"/>
      <c r="D193" s="2"/>
      <c r="E193" s="2"/>
      <c r="F193" s="11"/>
      <c r="G193" s="12"/>
      <c r="H193" s="10"/>
    </row>
    <row r="194" spans="1:8" ht="15.75">
      <c r="A194" s="18"/>
      <c r="B194" s="22"/>
      <c r="C194" s="2"/>
      <c r="D194" s="2"/>
      <c r="E194" s="2"/>
      <c r="F194" s="11"/>
      <c r="G194" s="12"/>
      <c r="H194" s="10"/>
    </row>
    <row r="195" spans="1:8" ht="15.75">
      <c r="A195" s="18"/>
      <c r="B195" s="22"/>
      <c r="C195" s="2"/>
      <c r="D195" s="2"/>
      <c r="E195" s="2"/>
      <c r="F195" s="11"/>
      <c r="G195" s="12"/>
      <c r="H195" s="10"/>
    </row>
    <row r="196" spans="1:8" ht="15.75">
      <c r="A196" s="18"/>
      <c r="B196" s="22"/>
      <c r="C196" s="2"/>
      <c r="D196" s="2"/>
      <c r="E196" s="2"/>
      <c r="F196" s="11"/>
      <c r="G196" s="12"/>
      <c r="H196" s="10"/>
    </row>
    <row r="197" spans="1:8" ht="15.75">
      <c r="A197" s="18"/>
      <c r="B197" s="22"/>
      <c r="C197" s="2"/>
      <c r="D197" s="2"/>
      <c r="E197" s="2"/>
      <c r="F197" s="11"/>
      <c r="G197" s="12"/>
      <c r="H197" s="10"/>
    </row>
    <row r="198" spans="1:8" ht="15.75">
      <c r="A198" s="18"/>
      <c r="B198" s="22"/>
      <c r="C198" s="2"/>
      <c r="D198" s="2"/>
      <c r="E198" s="2"/>
      <c r="F198" s="11"/>
      <c r="G198" s="12"/>
      <c r="H198" s="10"/>
    </row>
    <row r="199" spans="1:8" ht="15.75">
      <c r="A199" s="18"/>
      <c r="B199" s="22"/>
      <c r="C199" s="2"/>
      <c r="D199" s="2"/>
      <c r="E199" s="2"/>
      <c r="F199" s="11"/>
      <c r="G199" s="12"/>
      <c r="H199" s="10"/>
    </row>
    <row r="200" spans="1:8" ht="15.75">
      <c r="A200" s="18"/>
      <c r="B200" s="22"/>
      <c r="C200" s="2"/>
      <c r="D200" s="2"/>
      <c r="E200" s="2"/>
      <c r="F200" s="11"/>
      <c r="G200" s="12"/>
      <c r="H200" s="10"/>
    </row>
    <row r="201" spans="1:8" ht="15.75">
      <c r="A201" s="18"/>
      <c r="B201" s="22"/>
      <c r="C201" s="2"/>
      <c r="D201" s="2"/>
      <c r="E201" s="2"/>
      <c r="F201" s="11"/>
      <c r="G201" s="12"/>
      <c r="H201" s="10"/>
    </row>
    <row r="202" spans="1:8" ht="15.75">
      <c r="A202" s="18"/>
      <c r="B202" s="22"/>
      <c r="C202" s="3"/>
      <c r="D202" s="3"/>
      <c r="E202" s="3"/>
      <c r="F202" s="11"/>
      <c r="G202" s="12"/>
      <c r="H202" s="10"/>
    </row>
    <row r="203" spans="1:8" ht="15.75">
      <c r="A203" s="18"/>
      <c r="B203" s="22"/>
      <c r="C203" s="2"/>
      <c r="D203" s="2"/>
      <c r="E203" s="2"/>
      <c r="F203" s="11"/>
      <c r="G203" s="12"/>
      <c r="H203" s="10"/>
    </row>
    <row r="204" spans="1:8" ht="15.75">
      <c r="A204" s="18"/>
      <c r="C204" s="2"/>
      <c r="D204" s="2"/>
      <c r="E204" s="2"/>
      <c r="F204" s="6"/>
      <c r="G204" s="4"/>
      <c r="H204" s="4"/>
    </row>
    <row r="205" spans="1:8" ht="15.75">
      <c r="A205" s="18"/>
      <c r="C205" s="2"/>
      <c r="D205" s="2"/>
      <c r="E205" s="2"/>
      <c r="F205" s="6"/>
      <c r="G205" s="4"/>
      <c r="H205" s="4"/>
    </row>
    <row r="206" spans="1:8" ht="15.75">
      <c r="A206" s="18"/>
      <c r="C206" s="2"/>
      <c r="D206" s="2"/>
      <c r="E206" s="2"/>
      <c r="F206" s="6"/>
      <c r="G206" s="4"/>
      <c r="H206" s="4"/>
    </row>
    <row r="207" spans="1:8" ht="15.75">
      <c r="A207" s="18"/>
      <c r="C207" s="2"/>
      <c r="D207" s="2"/>
      <c r="E207" s="2"/>
      <c r="F207" s="6"/>
      <c r="G207" s="4"/>
      <c r="H207" s="4"/>
    </row>
    <row r="208" spans="1:8" ht="15.75">
      <c r="A208" s="18"/>
      <c r="C208" s="2"/>
      <c r="D208" s="2"/>
      <c r="E208" s="2"/>
      <c r="F208" s="6"/>
      <c r="G208" s="4"/>
      <c r="H208" s="4"/>
    </row>
    <row r="209" spans="1:8" ht="15.75">
      <c r="A209" s="18"/>
      <c r="C209" s="2"/>
      <c r="D209" s="2"/>
      <c r="E209" s="2"/>
      <c r="F209" s="6"/>
      <c r="G209" s="4"/>
      <c r="H209" s="4"/>
    </row>
    <row r="210" spans="1:8" ht="15.75">
      <c r="A210" s="18"/>
      <c r="C210" s="2"/>
      <c r="D210" s="2"/>
      <c r="E210" s="2"/>
      <c r="F210" s="6"/>
      <c r="G210" s="4"/>
      <c r="H210" s="4"/>
    </row>
    <row r="211" spans="1:8" ht="15.75">
      <c r="A211" s="18"/>
      <c r="C211" s="2"/>
      <c r="D211" s="2"/>
      <c r="E211" s="2"/>
      <c r="F211" s="6"/>
      <c r="G211" s="4"/>
      <c r="H211" s="4"/>
    </row>
    <row r="212" spans="1:8" ht="15.75">
      <c r="A212" s="18"/>
      <c r="C212" s="2"/>
      <c r="D212" s="2"/>
      <c r="E212" s="2"/>
      <c r="F212" s="6"/>
      <c r="G212" s="4"/>
      <c r="H212" s="4"/>
    </row>
    <row r="213" spans="1:8" ht="15.75">
      <c r="A213" s="18"/>
      <c r="C213" s="2"/>
      <c r="D213" s="2"/>
      <c r="E213" s="2"/>
      <c r="F213" s="6"/>
      <c r="G213" s="4"/>
      <c r="H213" s="4"/>
    </row>
    <row r="214" spans="1:8" ht="15.75">
      <c r="A214" s="18"/>
      <c r="C214" s="2"/>
      <c r="D214" s="2"/>
      <c r="E214" s="2"/>
      <c r="F214" s="6"/>
      <c r="G214" s="4"/>
      <c r="H214" s="4"/>
    </row>
    <row r="215" spans="1:8" ht="15.75">
      <c r="A215" s="18"/>
      <c r="C215" s="2"/>
      <c r="D215" s="2"/>
      <c r="E215" s="2"/>
      <c r="F215" s="6"/>
      <c r="G215" s="4"/>
      <c r="H215" s="4"/>
    </row>
    <row r="216" spans="1:8" ht="15.75">
      <c r="A216" s="18"/>
      <c r="C216" s="2"/>
      <c r="D216" s="2"/>
      <c r="E216" s="2"/>
      <c r="F216" s="6"/>
      <c r="G216" s="4"/>
      <c r="H216" s="4"/>
    </row>
    <row r="217" spans="1:8" ht="15.75">
      <c r="A217" s="18"/>
      <c r="C217" s="2"/>
      <c r="D217" s="2"/>
      <c r="E217" s="2"/>
      <c r="F217" s="6"/>
      <c r="G217" s="4"/>
      <c r="H217" s="4"/>
    </row>
    <row r="218" spans="1:8" ht="15.75">
      <c r="A218" s="18"/>
      <c r="C218" s="2"/>
      <c r="D218" s="2"/>
      <c r="E218" s="2"/>
      <c r="F218" s="6"/>
      <c r="G218" s="4"/>
      <c r="H218" s="4"/>
    </row>
    <row r="219" spans="1:8" ht="15.75">
      <c r="A219" s="18"/>
      <c r="C219" s="2"/>
      <c r="D219" s="2"/>
      <c r="E219" s="2"/>
      <c r="F219" s="6"/>
      <c r="G219" s="4"/>
      <c r="H219" s="4"/>
    </row>
    <row r="220" spans="1:8" ht="15.75">
      <c r="A220" s="18"/>
      <c r="C220" s="2"/>
      <c r="D220" s="2"/>
      <c r="E220" s="2"/>
      <c r="F220" s="6"/>
      <c r="G220" s="4"/>
      <c r="H220" s="4"/>
    </row>
    <row r="221" spans="1:8" ht="15.75">
      <c r="A221" s="18"/>
      <c r="C221" s="2"/>
      <c r="D221" s="2"/>
      <c r="E221" s="2"/>
      <c r="F221" s="6"/>
      <c r="G221" s="4"/>
      <c r="H221" s="4"/>
    </row>
    <row r="222" spans="1:8" ht="15.75">
      <c r="A222" s="18"/>
      <c r="C222" s="2"/>
      <c r="D222" s="2"/>
      <c r="E222" s="2"/>
      <c r="F222" s="6"/>
      <c r="G222" s="4"/>
      <c r="H222" s="4"/>
    </row>
    <row r="223" spans="1:8" ht="15.75">
      <c r="A223" s="18"/>
      <c r="C223" s="2"/>
      <c r="D223" s="2"/>
      <c r="E223" s="2"/>
      <c r="F223" s="6"/>
      <c r="G223" s="4"/>
      <c r="H223" s="4"/>
    </row>
    <row r="224" spans="1:8" ht="15.75">
      <c r="A224" s="18"/>
      <c r="C224" s="2"/>
      <c r="D224" s="2"/>
      <c r="E224" s="2"/>
      <c r="F224" s="6"/>
      <c r="G224" s="4"/>
      <c r="H224" s="4"/>
    </row>
    <row r="225" spans="1:8" ht="15.75">
      <c r="A225" s="18"/>
      <c r="C225" s="2"/>
      <c r="D225" s="2"/>
      <c r="E225" s="2"/>
      <c r="F225" s="6"/>
      <c r="G225" s="4"/>
      <c r="H225" s="4"/>
    </row>
    <row r="226" spans="1:8" ht="15.75">
      <c r="A226" s="18"/>
      <c r="C226" s="2"/>
      <c r="D226" s="2"/>
      <c r="E226" s="2"/>
      <c r="F226" s="6"/>
      <c r="G226" s="4"/>
      <c r="H226" s="4"/>
    </row>
    <row r="227" spans="1:8" ht="15.75">
      <c r="A227" s="18"/>
      <c r="C227" s="2"/>
      <c r="D227" s="2"/>
      <c r="E227" s="2"/>
      <c r="F227" s="6"/>
      <c r="G227" s="4"/>
      <c r="H227" s="4"/>
    </row>
    <row r="228" spans="1:8" ht="15.75">
      <c r="A228" s="18"/>
      <c r="C228" s="2"/>
      <c r="D228" s="2"/>
      <c r="E228" s="2"/>
      <c r="F228" s="6"/>
      <c r="G228" s="4"/>
      <c r="H228" s="4"/>
    </row>
    <row r="229" spans="1:8" ht="15.75">
      <c r="A229" s="18"/>
      <c r="C229" s="2"/>
      <c r="D229" s="2"/>
      <c r="E229" s="2"/>
      <c r="F229" s="6"/>
      <c r="G229" s="4"/>
      <c r="H229" s="4"/>
    </row>
  </sheetData>
  <sheetProtection/>
  <mergeCells count="1">
    <mergeCell ref="B181:F181"/>
  </mergeCells>
  <printOptions horizontalCentered="1"/>
  <pageMargins left="0.7" right="0.7" top="0.56" bottom="0.55" header="0.3" footer="0.3"/>
  <pageSetup horizontalDpi="600" verticalDpi="600" orientation="portrait" scale="70" r:id="rId1"/>
  <rowBreaks count="3" manualBreakCount="3">
    <brk id="60" max="255" man="1"/>
    <brk id="118" max="255" man="1"/>
    <brk id="8205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228"/>
  <sheetViews>
    <sheetView showOutlineSymbols="0" zoomScale="120" zoomScaleNormal="120" zoomScalePageLayoutView="0" workbookViewId="0" topLeftCell="A82">
      <selection activeCell="E108" sqref="E108"/>
    </sheetView>
  </sheetViews>
  <sheetFormatPr defaultColWidth="9.6640625" defaultRowHeight="15"/>
  <cols>
    <col min="1" max="1" width="6.6640625" style="14" customWidth="1"/>
    <col min="2" max="2" width="14.6640625" style="14" customWidth="1"/>
    <col min="3" max="5" width="7.6640625" style="1" customWidth="1"/>
    <col min="6" max="7" width="9.6640625" style="1" customWidth="1"/>
    <col min="8" max="8" width="11.10546875" style="1" customWidth="1"/>
    <col min="9" max="9" width="10.6640625" style="54" customWidth="1"/>
    <col min="10" max="16384" width="9.6640625" style="54" customWidth="1"/>
  </cols>
  <sheetData>
    <row r="1" ht="15.75">
      <c r="A1" s="14" t="s">
        <v>0</v>
      </c>
    </row>
    <row r="2" spans="1:8" ht="15.75">
      <c r="A2" s="18"/>
      <c r="B2" s="14" t="s">
        <v>21</v>
      </c>
      <c r="C2" s="15"/>
      <c r="D2" s="15"/>
      <c r="E2" s="15"/>
      <c r="F2" s="202" t="s">
        <v>171</v>
      </c>
      <c r="G2" s="141" t="s">
        <v>23</v>
      </c>
      <c r="H2" s="142">
        <v>44260</v>
      </c>
    </row>
    <row r="3" spans="1:8" ht="15.75">
      <c r="A3" s="18"/>
      <c r="B3" s="66" t="s">
        <v>162</v>
      </c>
      <c r="C3" s="15"/>
      <c r="D3" s="15"/>
      <c r="E3" s="130"/>
      <c r="F3" s="16"/>
      <c r="G3" s="13"/>
      <c r="H3" s="17"/>
    </row>
    <row r="4" spans="1:8" ht="15.75">
      <c r="A4" s="18"/>
      <c r="B4" s="119" t="s">
        <v>166</v>
      </c>
      <c r="C4" s="120"/>
      <c r="D4" s="120"/>
      <c r="E4" s="120"/>
      <c r="F4" s="20"/>
      <c r="G4" s="18"/>
      <c r="H4" s="21"/>
    </row>
    <row r="5" spans="1:8" ht="15.75">
      <c r="A5" s="18"/>
      <c r="B5" s="19"/>
      <c r="C5" s="19"/>
      <c r="D5" s="19"/>
      <c r="E5" s="19"/>
      <c r="F5" s="20" t="s">
        <v>22</v>
      </c>
      <c r="G5" s="18"/>
      <c r="H5" s="19" t="s">
        <v>2</v>
      </c>
    </row>
    <row r="6" spans="1:8" ht="16.5" thickBot="1">
      <c r="A6" s="18"/>
      <c r="B6" s="22" t="s">
        <v>3</v>
      </c>
      <c r="C6" s="121">
        <v>2018</v>
      </c>
      <c r="D6" s="121">
        <v>2019</v>
      </c>
      <c r="E6" s="121">
        <v>2020</v>
      </c>
      <c r="F6" s="20">
        <v>43845</v>
      </c>
      <c r="G6" s="46" t="s">
        <v>1</v>
      </c>
      <c r="H6" s="48">
        <v>1</v>
      </c>
    </row>
    <row r="7" spans="1:8" ht="15.75">
      <c r="A7" s="18">
        <v>68</v>
      </c>
      <c r="B7" s="22" t="s">
        <v>37</v>
      </c>
      <c r="C7" s="37">
        <f>14+2+6+1+1</f>
        <v>24</v>
      </c>
      <c r="D7" s="37">
        <f>18+3+2</f>
        <v>23</v>
      </c>
      <c r="E7" s="37">
        <v>6</v>
      </c>
      <c r="F7" s="83">
        <v>43781</v>
      </c>
      <c r="G7" s="125">
        <f aca="true" t="shared" si="0" ref="G7:G12">E7/D7</f>
        <v>0.2608695652173913</v>
      </c>
      <c r="H7" s="47">
        <f aca="true" t="shared" si="1" ref="H7:H12">E7-D7</f>
        <v>-17</v>
      </c>
    </row>
    <row r="8" spans="1:8" ht="15.75">
      <c r="A8" s="18">
        <v>125</v>
      </c>
      <c r="B8" s="22" t="s">
        <v>4</v>
      </c>
      <c r="C8" s="87">
        <v>42</v>
      </c>
      <c r="D8" s="87">
        <f>16+20+4+2</f>
        <v>42</v>
      </c>
      <c r="E8" s="87">
        <v>48</v>
      </c>
      <c r="F8" s="84">
        <v>43902</v>
      </c>
      <c r="G8" s="116">
        <f t="shared" si="0"/>
        <v>1.1428571428571428</v>
      </c>
      <c r="H8" s="34">
        <f t="shared" si="1"/>
        <v>6</v>
      </c>
    </row>
    <row r="9" spans="1:8" ht="15.75">
      <c r="A9" s="18">
        <v>152</v>
      </c>
      <c r="B9" s="22" t="s">
        <v>5</v>
      </c>
      <c r="C9" s="87">
        <f>10+2</f>
        <v>12</v>
      </c>
      <c r="D9" s="87">
        <f>12</f>
        <v>12</v>
      </c>
      <c r="E9" s="87">
        <v>12</v>
      </c>
      <c r="F9" s="84">
        <v>43952</v>
      </c>
      <c r="G9" s="116">
        <f t="shared" si="0"/>
        <v>1</v>
      </c>
      <c r="H9" s="34">
        <f t="shared" si="1"/>
        <v>0</v>
      </c>
    </row>
    <row r="10" spans="1:8" ht="15.75">
      <c r="A10" s="18">
        <v>155</v>
      </c>
      <c r="B10" s="22" t="s">
        <v>6</v>
      </c>
      <c r="C10" s="87">
        <f>15+20+24+10+8+6+5+5+2</f>
        <v>95</v>
      </c>
      <c r="D10" s="87">
        <f>36+18+11+13+12+5+1</f>
        <v>96</v>
      </c>
      <c r="E10" s="87">
        <v>95</v>
      </c>
      <c r="F10" s="84">
        <v>43909</v>
      </c>
      <c r="G10" s="116">
        <f t="shared" si="0"/>
        <v>0.9895833333333334</v>
      </c>
      <c r="H10" s="34">
        <f t="shared" si="1"/>
        <v>-1</v>
      </c>
    </row>
    <row r="11" spans="1:8" ht="16.5" thickBot="1">
      <c r="A11" s="18">
        <v>160</v>
      </c>
      <c r="B11" s="22" t="s">
        <v>40</v>
      </c>
      <c r="C11" s="35">
        <f>16+1+1</f>
        <v>18</v>
      </c>
      <c r="D11" s="35">
        <f>18</f>
        <v>18</v>
      </c>
      <c r="E11" s="35">
        <v>20</v>
      </c>
      <c r="F11" s="85">
        <v>43973</v>
      </c>
      <c r="G11" s="144">
        <f t="shared" si="0"/>
        <v>1.1111111111111112</v>
      </c>
      <c r="H11" s="42">
        <f t="shared" si="1"/>
        <v>2</v>
      </c>
    </row>
    <row r="12" spans="1:9" ht="15.75">
      <c r="A12" s="18"/>
      <c r="B12" s="22" t="s">
        <v>7</v>
      </c>
      <c r="C12" s="46">
        <f>SUM(C7:C11)</f>
        <v>191</v>
      </c>
      <c r="D12" s="46">
        <f>SUM(D7:D11)</f>
        <v>191</v>
      </c>
      <c r="E12" s="46">
        <f>SUM(E7:E11)</f>
        <v>181</v>
      </c>
      <c r="F12" s="86" t="s">
        <v>0</v>
      </c>
      <c r="G12" s="145">
        <f t="shared" si="0"/>
        <v>0.9476439790575916</v>
      </c>
      <c r="H12" s="63">
        <f t="shared" si="1"/>
        <v>-10</v>
      </c>
      <c r="I12" s="55"/>
    </row>
    <row r="13" spans="1:8" ht="15.75">
      <c r="A13" s="18"/>
      <c r="B13" s="22"/>
      <c r="C13" s="15"/>
      <c r="D13" s="15"/>
      <c r="E13" s="15"/>
      <c r="F13" s="20" t="s">
        <v>22</v>
      </c>
      <c r="G13" s="146"/>
      <c r="H13" s="19" t="s">
        <v>2</v>
      </c>
    </row>
    <row r="14" spans="1:8" ht="16.5" thickBot="1">
      <c r="A14" s="18"/>
      <c r="B14" s="22" t="s">
        <v>8</v>
      </c>
      <c r="C14" s="121">
        <v>2018</v>
      </c>
      <c r="D14" s="121">
        <v>2019</v>
      </c>
      <c r="E14" s="121">
        <v>2020</v>
      </c>
      <c r="F14" s="20" t="s">
        <v>34</v>
      </c>
      <c r="G14" s="147" t="s">
        <v>1</v>
      </c>
      <c r="H14" s="41">
        <v>1</v>
      </c>
    </row>
    <row r="15" spans="1:8" ht="15.75">
      <c r="A15" s="18">
        <v>28</v>
      </c>
      <c r="B15" s="22" t="s">
        <v>41</v>
      </c>
      <c r="C15" s="37">
        <f>10+1</f>
        <v>11</v>
      </c>
      <c r="D15" s="37">
        <f>8</f>
        <v>8</v>
      </c>
      <c r="E15" s="37">
        <v>8</v>
      </c>
      <c r="F15" s="83">
        <v>43888</v>
      </c>
      <c r="G15" s="126">
        <f aca="true" t="shared" si="2" ref="G15:G24">E15/D15</f>
        <v>1</v>
      </c>
      <c r="H15" s="34">
        <f aca="true" t="shared" si="3" ref="H15:H23">E15-D15</f>
        <v>0</v>
      </c>
    </row>
    <row r="16" spans="1:8" ht="15.75">
      <c r="A16" s="18">
        <v>81</v>
      </c>
      <c r="B16" s="22" t="s">
        <v>46</v>
      </c>
      <c r="C16" s="31">
        <f>10+5+4</f>
        <v>19</v>
      </c>
      <c r="D16" s="31">
        <f>14+5</f>
        <v>19</v>
      </c>
      <c r="E16" s="31">
        <v>20</v>
      </c>
      <c r="F16" s="84">
        <v>44175</v>
      </c>
      <c r="G16" s="116">
        <f t="shared" si="2"/>
        <v>1.0526315789473684</v>
      </c>
      <c r="H16" s="34">
        <f t="shared" si="3"/>
        <v>1</v>
      </c>
    </row>
    <row r="17" spans="1:8" ht="15.75">
      <c r="A17" s="18">
        <v>123</v>
      </c>
      <c r="B17" s="22" t="s">
        <v>45</v>
      </c>
      <c r="C17" s="31">
        <f>26+8</f>
        <v>34</v>
      </c>
      <c r="D17" s="31">
        <f>10+5+6+4+2+2+4+1+1</f>
        <v>35</v>
      </c>
      <c r="E17" s="31">
        <v>38</v>
      </c>
      <c r="F17" s="84">
        <v>44222</v>
      </c>
      <c r="G17" s="116">
        <f t="shared" si="2"/>
        <v>1.0857142857142856</v>
      </c>
      <c r="H17" s="34">
        <f t="shared" si="3"/>
        <v>3</v>
      </c>
    </row>
    <row r="18" spans="1:8" ht="15.75">
      <c r="A18" s="18">
        <v>172</v>
      </c>
      <c r="B18" s="22" t="s">
        <v>47</v>
      </c>
      <c r="C18" s="31">
        <f>9+7+10+13+9+12+22+6+9+3+6+1+1</f>
        <v>108</v>
      </c>
      <c r="D18" s="31">
        <v>109</v>
      </c>
      <c r="E18" s="31">
        <v>93</v>
      </c>
      <c r="F18" s="84">
        <v>44274</v>
      </c>
      <c r="G18" s="116">
        <f t="shared" si="2"/>
        <v>0.8532110091743119</v>
      </c>
      <c r="H18" s="34">
        <f t="shared" si="3"/>
        <v>-16</v>
      </c>
    </row>
    <row r="19" spans="1:8" ht="15.75">
      <c r="A19" s="18">
        <v>224</v>
      </c>
      <c r="B19" s="22" t="s">
        <v>24</v>
      </c>
      <c r="C19" s="31">
        <f>9+5+5+3+7+2+1+4+1</f>
        <v>37</v>
      </c>
      <c r="D19" s="31">
        <f>6+10+6+3+4+5+2+2+2+1</f>
        <v>41</v>
      </c>
      <c r="E19" s="31">
        <v>36</v>
      </c>
      <c r="F19" s="84">
        <v>43994</v>
      </c>
      <c r="G19" s="116">
        <f t="shared" si="2"/>
        <v>0.8780487804878049</v>
      </c>
      <c r="H19" s="34">
        <f t="shared" si="3"/>
        <v>-5</v>
      </c>
    </row>
    <row r="20" spans="1:8" ht="15.75">
      <c r="A20" s="18">
        <v>236</v>
      </c>
      <c r="B20" s="22" t="s">
        <v>125</v>
      </c>
      <c r="C20" s="92">
        <f>25+2+1</f>
        <v>28</v>
      </c>
      <c r="D20" s="92">
        <v>30</v>
      </c>
      <c r="E20" s="92">
        <v>29</v>
      </c>
      <c r="F20" s="93">
        <v>44196</v>
      </c>
      <c r="G20" s="116">
        <f>E20/D20</f>
        <v>0.9666666666666667</v>
      </c>
      <c r="H20" s="34">
        <f>E20-D20</f>
        <v>-1</v>
      </c>
    </row>
    <row r="21" spans="1:8" ht="15.75">
      <c r="A21" s="18">
        <v>260</v>
      </c>
      <c r="B21" s="67" t="s">
        <v>153</v>
      </c>
      <c r="C21" s="92"/>
      <c r="D21" s="92">
        <v>10</v>
      </c>
      <c r="E21" s="161">
        <v>10</v>
      </c>
      <c r="F21" s="93">
        <v>44141</v>
      </c>
      <c r="G21" s="116">
        <f>E21/D21</f>
        <v>1</v>
      </c>
      <c r="H21" s="34">
        <f>E21-D21</f>
        <v>0</v>
      </c>
    </row>
    <row r="22" spans="1:8" ht="15.75">
      <c r="A22" s="18">
        <v>266</v>
      </c>
      <c r="B22" s="67" t="s">
        <v>144</v>
      </c>
      <c r="C22" s="92">
        <f>2+1+1+1+3+3</f>
        <v>11</v>
      </c>
      <c r="D22" s="92">
        <f>12+4+2</f>
        <v>18</v>
      </c>
      <c r="E22" s="92">
        <f>13+6</f>
        <v>19</v>
      </c>
      <c r="F22" s="93">
        <v>43803</v>
      </c>
      <c r="G22" s="116">
        <f>E22/D22</f>
        <v>1.0555555555555556</v>
      </c>
      <c r="H22" s="34">
        <f>E22-D22</f>
        <v>1</v>
      </c>
    </row>
    <row r="23" spans="1:8" ht="16.5" thickBot="1">
      <c r="A23" s="18">
        <v>344</v>
      </c>
      <c r="B23" s="67" t="s">
        <v>137</v>
      </c>
      <c r="C23" s="94">
        <f>18+4</f>
        <v>22</v>
      </c>
      <c r="D23" s="94">
        <f>21+1</f>
        <v>22</v>
      </c>
      <c r="E23" s="94">
        <f>22</f>
        <v>22</v>
      </c>
      <c r="F23" s="85">
        <v>43725</v>
      </c>
      <c r="G23" s="144">
        <f t="shared" si="2"/>
        <v>1</v>
      </c>
      <c r="H23" s="42">
        <f t="shared" si="3"/>
        <v>0</v>
      </c>
    </row>
    <row r="24" spans="1:8" ht="15.75">
      <c r="A24" s="18"/>
      <c r="B24" s="22" t="s">
        <v>7</v>
      </c>
      <c r="C24" s="46">
        <f>SUM(C15:C23)</f>
        <v>270</v>
      </c>
      <c r="D24" s="46">
        <f>SUM(D15:D23)</f>
        <v>292</v>
      </c>
      <c r="E24" s="46">
        <f>SUM(E15:E23)</f>
        <v>275</v>
      </c>
      <c r="F24" s="49"/>
      <c r="G24" s="145">
        <f t="shared" si="2"/>
        <v>0.9417808219178082</v>
      </c>
      <c r="H24" s="63">
        <f>E24-D24</f>
        <v>-17</v>
      </c>
    </row>
    <row r="25" spans="1:11" ht="15.75">
      <c r="A25" s="18"/>
      <c r="B25" s="22"/>
      <c r="C25" s="15"/>
      <c r="D25" s="15"/>
      <c r="E25" s="15"/>
      <c r="F25" s="20" t="s">
        <v>22</v>
      </c>
      <c r="G25" s="146"/>
      <c r="H25" s="19" t="s">
        <v>2</v>
      </c>
      <c r="K25" s="29"/>
    </row>
    <row r="26" spans="1:11" ht="16.5" thickBot="1">
      <c r="A26" s="18"/>
      <c r="B26" s="22" t="s">
        <v>9</v>
      </c>
      <c r="C26" s="121">
        <v>2018</v>
      </c>
      <c r="D26" s="121">
        <v>2019</v>
      </c>
      <c r="E26" s="121">
        <v>2020</v>
      </c>
      <c r="F26" s="20" t="s">
        <v>34</v>
      </c>
      <c r="G26" s="153" t="s">
        <v>1</v>
      </c>
      <c r="H26" s="48">
        <v>1</v>
      </c>
      <c r="K26" s="29"/>
    </row>
    <row r="27" spans="1:11" ht="15.75">
      <c r="A27" s="18">
        <v>52</v>
      </c>
      <c r="B27" s="67" t="s">
        <v>160</v>
      </c>
      <c r="C27" s="133"/>
      <c r="D27" s="133"/>
      <c r="E27" s="133">
        <v>3</v>
      </c>
      <c r="F27" s="134">
        <v>43952</v>
      </c>
      <c r="G27" s="125" t="e">
        <f aca="true" t="shared" si="4" ref="G27:G37">E27/D27</f>
        <v>#DIV/0!</v>
      </c>
      <c r="H27" s="177">
        <f aca="true" t="shared" si="5" ref="H27:H36">E27-D27</f>
        <v>3</v>
      </c>
      <c r="K27" s="29"/>
    </row>
    <row r="28" spans="1:254" ht="15.75">
      <c r="A28" s="18">
        <v>124</v>
      </c>
      <c r="B28" s="67" t="s">
        <v>131</v>
      </c>
      <c r="C28" s="162">
        <f>22+28+29+40+12+20+5+37+10</f>
        <v>203</v>
      </c>
      <c r="D28" s="162">
        <v>210</v>
      </c>
      <c r="E28" s="162">
        <v>178</v>
      </c>
      <c r="F28" s="163">
        <v>43909</v>
      </c>
      <c r="G28" s="126">
        <f t="shared" si="4"/>
        <v>0.8476190476190476</v>
      </c>
      <c r="H28" s="131">
        <f t="shared" si="5"/>
        <v>-32</v>
      </c>
      <c r="I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ht="15.75">
      <c r="A29" s="18">
        <v>130</v>
      </c>
      <c r="B29" s="22" t="s">
        <v>25</v>
      </c>
      <c r="C29" s="69">
        <f>3+3+3+1</f>
        <v>10</v>
      </c>
      <c r="D29" s="69">
        <f>10+1</f>
        <v>11</v>
      </c>
      <c r="E29" s="69">
        <f>10+3</f>
        <v>13</v>
      </c>
      <c r="F29" s="103">
        <v>43683</v>
      </c>
      <c r="G29" s="116">
        <f t="shared" si="4"/>
        <v>1.1818181818181819</v>
      </c>
      <c r="H29" s="34">
        <f t="shared" si="5"/>
        <v>2</v>
      </c>
      <c r="I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8" ht="15.75">
      <c r="A30" s="18">
        <v>185</v>
      </c>
      <c r="B30" s="22" t="s">
        <v>48</v>
      </c>
      <c r="C30" s="69">
        <f>14+1+5+2+4+3</f>
        <v>29</v>
      </c>
      <c r="D30" s="69">
        <f>11+2+17</f>
        <v>30</v>
      </c>
      <c r="E30" s="69">
        <v>14</v>
      </c>
      <c r="F30" s="80">
        <v>43853</v>
      </c>
      <c r="G30" s="116">
        <f t="shared" si="4"/>
        <v>0.4666666666666667</v>
      </c>
      <c r="H30" s="34">
        <f t="shared" si="5"/>
        <v>-16</v>
      </c>
    </row>
    <row r="31" spans="1:8" ht="15.75">
      <c r="A31" s="18">
        <v>275</v>
      </c>
      <c r="B31" s="22" t="s">
        <v>49</v>
      </c>
      <c r="C31" s="69">
        <f>3+5+26+11+36+3+4+22</f>
        <v>110</v>
      </c>
      <c r="D31" s="69">
        <f>23+7+7+9+12+6+2+22+22</f>
        <v>110</v>
      </c>
      <c r="E31" s="69">
        <v>77</v>
      </c>
      <c r="F31" s="80">
        <v>44141</v>
      </c>
      <c r="G31" s="116">
        <f t="shared" si="4"/>
        <v>0.7</v>
      </c>
      <c r="H31" s="34">
        <f t="shared" si="5"/>
        <v>-33</v>
      </c>
    </row>
    <row r="32" spans="1:8" ht="15.75">
      <c r="A32" s="18">
        <v>277</v>
      </c>
      <c r="B32" s="22" t="s">
        <v>50</v>
      </c>
      <c r="C32" s="69">
        <f>5+4+1+3+2+1+4+1</f>
        <v>21</v>
      </c>
      <c r="D32" s="69">
        <f>7+2+1</f>
        <v>10</v>
      </c>
      <c r="E32" s="69">
        <v>9</v>
      </c>
      <c r="F32" s="80">
        <v>43810</v>
      </c>
      <c r="G32" s="116">
        <f t="shared" si="4"/>
        <v>0.9</v>
      </c>
      <c r="H32" s="34">
        <f t="shared" si="5"/>
        <v>-1</v>
      </c>
    </row>
    <row r="33" spans="1:8" ht="15.75">
      <c r="A33" s="18">
        <v>293</v>
      </c>
      <c r="B33" s="67" t="s">
        <v>128</v>
      </c>
      <c r="C33" s="69">
        <f>7+1</f>
        <v>8</v>
      </c>
      <c r="D33" s="69">
        <f>8</f>
        <v>8</v>
      </c>
      <c r="E33" s="69">
        <v>9</v>
      </c>
      <c r="F33" s="80">
        <v>43888</v>
      </c>
      <c r="G33" s="116">
        <f t="shared" si="4"/>
        <v>1.125</v>
      </c>
      <c r="H33" s="34">
        <f t="shared" si="5"/>
        <v>1</v>
      </c>
    </row>
    <row r="34" spans="1:8" ht="15.75">
      <c r="A34" s="18">
        <v>325</v>
      </c>
      <c r="B34" s="22" t="s">
        <v>126</v>
      </c>
      <c r="C34" s="69">
        <f>41+3</f>
        <v>44</v>
      </c>
      <c r="D34" s="69">
        <f>39</f>
        <v>39</v>
      </c>
      <c r="E34" s="69">
        <v>22</v>
      </c>
      <c r="F34" s="80">
        <v>44141</v>
      </c>
      <c r="G34" s="116">
        <f t="shared" si="4"/>
        <v>0.5641025641025641</v>
      </c>
      <c r="H34" s="34">
        <f t="shared" si="5"/>
        <v>-17</v>
      </c>
    </row>
    <row r="35" spans="1:8" ht="15.75">
      <c r="A35" s="18">
        <v>338</v>
      </c>
      <c r="B35" s="22" t="s">
        <v>26</v>
      </c>
      <c r="C35" s="23">
        <f>6+1+4+1+4+2+4</f>
        <v>22</v>
      </c>
      <c r="D35" s="23">
        <f>6+1+3+2+5+5+1+1+1</f>
        <v>25</v>
      </c>
      <c r="E35" s="23">
        <v>32</v>
      </c>
      <c r="F35" s="171">
        <v>43959</v>
      </c>
      <c r="G35" s="172">
        <f t="shared" si="4"/>
        <v>1.28</v>
      </c>
      <c r="H35" s="173">
        <f t="shared" si="5"/>
        <v>7</v>
      </c>
    </row>
    <row r="36" spans="1:8" ht="16.5" thickBot="1">
      <c r="A36" s="18">
        <v>351</v>
      </c>
      <c r="B36" s="67" t="s">
        <v>164</v>
      </c>
      <c r="C36" s="35"/>
      <c r="D36" s="35"/>
      <c r="E36" s="35">
        <v>15</v>
      </c>
      <c r="F36" s="85">
        <v>43872</v>
      </c>
      <c r="G36" s="144" t="e">
        <f t="shared" si="4"/>
        <v>#DIV/0!</v>
      </c>
      <c r="H36" s="175">
        <f t="shared" si="5"/>
        <v>15</v>
      </c>
    </row>
    <row r="37" spans="1:8" s="56" customFormat="1" ht="15.75">
      <c r="A37" s="18"/>
      <c r="B37" s="22" t="s">
        <v>7</v>
      </c>
      <c r="C37" s="46">
        <f>SUM(C27:C36)</f>
        <v>447</v>
      </c>
      <c r="D37" s="46">
        <f>SUM(D27:D36)</f>
        <v>443</v>
      </c>
      <c r="E37" s="46">
        <f>SUM(E27:E36)</f>
        <v>372</v>
      </c>
      <c r="F37" s="49"/>
      <c r="G37" s="145">
        <f t="shared" si="4"/>
        <v>0.8397291196388262</v>
      </c>
      <c r="H37" s="63">
        <f>E37-D37</f>
        <v>-71</v>
      </c>
    </row>
    <row r="38" spans="1:8" ht="15.75">
      <c r="A38" s="18"/>
      <c r="B38" s="19"/>
      <c r="C38" s="15"/>
      <c r="D38" s="15"/>
      <c r="E38" s="15"/>
      <c r="F38" s="20" t="s">
        <v>22</v>
      </c>
      <c r="G38" s="146"/>
      <c r="H38" s="19" t="s">
        <v>2</v>
      </c>
    </row>
    <row r="39" spans="1:8" ht="16.5" thickBot="1">
      <c r="A39" s="18"/>
      <c r="B39" s="22" t="s">
        <v>10</v>
      </c>
      <c r="C39" s="121">
        <v>2018</v>
      </c>
      <c r="D39" s="121">
        <v>2019</v>
      </c>
      <c r="E39" s="121">
        <v>2020</v>
      </c>
      <c r="F39" s="20" t="s">
        <v>34</v>
      </c>
      <c r="G39" s="147" t="s">
        <v>1</v>
      </c>
      <c r="H39" s="41">
        <v>1</v>
      </c>
    </row>
    <row r="40" spans="1:8" ht="15.75">
      <c r="A40" s="18">
        <v>2</v>
      </c>
      <c r="B40" s="22" t="s">
        <v>52</v>
      </c>
      <c r="C40" s="50">
        <f>20+2</f>
        <v>22</v>
      </c>
      <c r="D40" s="50">
        <f>22</f>
        <v>22</v>
      </c>
      <c r="E40" s="50">
        <v>22</v>
      </c>
      <c r="F40" s="51">
        <v>44196</v>
      </c>
      <c r="G40" s="116">
        <f aca="true" t="shared" si="6" ref="G40:G62">E40/D40</f>
        <v>1</v>
      </c>
      <c r="H40" s="34">
        <f aca="true" t="shared" si="7" ref="H40:H61">E40-D40</f>
        <v>0</v>
      </c>
    </row>
    <row r="41" spans="1:8" ht="15.75">
      <c r="A41" s="18">
        <v>41</v>
      </c>
      <c r="B41" s="22" t="s">
        <v>51</v>
      </c>
      <c r="C41" s="23">
        <f>25+8</f>
        <v>33</v>
      </c>
      <c r="D41" s="23">
        <v>25</v>
      </c>
      <c r="E41" s="23">
        <f>21+11</f>
        <v>32</v>
      </c>
      <c r="F41" s="24">
        <v>44000</v>
      </c>
      <c r="G41" s="116">
        <f t="shared" si="6"/>
        <v>1.28</v>
      </c>
      <c r="H41" s="34">
        <f t="shared" si="7"/>
        <v>7</v>
      </c>
    </row>
    <row r="42" spans="1:8" ht="15.75">
      <c r="A42" s="18">
        <v>58</v>
      </c>
      <c r="B42" s="22" t="s">
        <v>121</v>
      </c>
      <c r="C42" s="23">
        <f>8+10+4+2+2+3</f>
        <v>29</v>
      </c>
      <c r="D42" s="23">
        <f>23+2+1</f>
        <v>26</v>
      </c>
      <c r="E42" s="23">
        <v>23</v>
      </c>
      <c r="F42" s="24">
        <v>43931</v>
      </c>
      <c r="G42" s="116">
        <f t="shared" si="6"/>
        <v>0.8846153846153846</v>
      </c>
      <c r="H42" s="34">
        <f t="shared" si="7"/>
        <v>-3</v>
      </c>
    </row>
    <row r="43" spans="1:8" ht="15.75">
      <c r="A43" s="18">
        <v>59</v>
      </c>
      <c r="B43" s="22" t="s">
        <v>53</v>
      </c>
      <c r="C43" s="23">
        <f>3+2+1+1+1+1+1+1</f>
        <v>11</v>
      </c>
      <c r="D43" s="23">
        <f>4+1+2+1+1+1</f>
        <v>10</v>
      </c>
      <c r="E43" s="23">
        <v>8</v>
      </c>
      <c r="F43" s="24">
        <v>44126</v>
      </c>
      <c r="G43" s="116">
        <f t="shared" si="6"/>
        <v>0.8</v>
      </c>
      <c r="H43" s="34">
        <f t="shared" si="7"/>
        <v>-2</v>
      </c>
    </row>
    <row r="44" spans="1:8" ht="15.75">
      <c r="A44" s="18">
        <v>92</v>
      </c>
      <c r="B44" s="22" t="s">
        <v>54</v>
      </c>
      <c r="C44" s="23">
        <f>15+6+6+3</f>
        <v>30</v>
      </c>
      <c r="D44" s="23">
        <v>33</v>
      </c>
      <c r="E44" s="23">
        <v>34</v>
      </c>
      <c r="F44" s="24">
        <v>43867</v>
      </c>
      <c r="G44" s="116">
        <f t="shared" si="6"/>
        <v>1.0303030303030303</v>
      </c>
      <c r="H44" s="34">
        <f t="shared" si="7"/>
        <v>1</v>
      </c>
    </row>
    <row r="45" spans="1:8" ht="15.75">
      <c r="A45" s="18">
        <v>102</v>
      </c>
      <c r="B45" s="22" t="s">
        <v>42</v>
      </c>
      <c r="C45" s="23">
        <f>3+4+14+14+10+7+13+10+4+5+3+5+10+1+11+4+1</f>
        <v>119</v>
      </c>
      <c r="D45" s="23">
        <v>108</v>
      </c>
      <c r="E45" s="70">
        <v>104</v>
      </c>
      <c r="F45" s="24">
        <v>44104</v>
      </c>
      <c r="G45" s="116">
        <f t="shared" si="6"/>
        <v>0.9629629629629629</v>
      </c>
      <c r="H45" s="34">
        <f t="shared" si="7"/>
        <v>-4</v>
      </c>
    </row>
    <row r="46" spans="1:8" ht="15.75">
      <c r="A46" s="18">
        <v>109</v>
      </c>
      <c r="B46" s="22" t="s">
        <v>55</v>
      </c>
      <c r="C46" s="23">
        <f>27</f>
        <v>27</v>
      </c>
      <c r="D46" s="23">
        <f>34</f>
        <v>34</v>
      </c>
      <c r="E46" s="23">
        <v>28</v>
      </c>
      <c r="F46" s="24">
        <v>43881</v>
      </c>
      <c r="G46" s="116">
        <f t="shared" si="6"/>
        <v>0.8235294117647058</v>
      </c>
      <c r="H46" s="34">
        <f t="shared" si="7"/>
        <v>-6</v>
      </c>
    </row>
    <row r="47" spans="1:8" ht="15.75">
      <c r="A47" s="18">
        <v>129</v>
      </c>
      <c r="B47" s="22" t="s">
        <v>56</v>
      </c>
      <c r="C47" s="23">
        <f>10+2+8+1+3+2+2+3+1+2+4+3+2+1</f>
        <v>44</v>
      </c>
      <c r="D47" s="23">
        <f>16+16+6</f>
        <v>38</v>
      </c>
      <c r="E47" s="23">
        <v>32</v>
      </c>
      <c r="F47" s="24">
        <v>43888</v>
      </c>
      <c r="G47" s="116">
        <f t="shared" si="6"/>
        <v>0.8421052631578947</v>
      </c>
      <c r="H47" s="34">
        <f t="shared" si="7"/>
        <v>-6</v>
      </c>
    </row>
    <row r="48" spans="1:8" ht="15.75">
      <c r="A48" s="18">
        <v>138</v>
      </c>
      <c r="B48" s="67" t="s">
        <v>132</v>
      </c>
      <c r="C48" s="23">
        <f>22</f>
        <v>22</v>
      </c>
      <c r="D48" s="23">
        <f>17+7+4+1</f>
        <v>29</v>
      </c>
      <c r="E48" s="23">
        <v>29</v>
      </c>
      <c r="F48" s="24">
        <v>43895</v>
      </c>
      <c r="G48" s="116">
        <f t="shared" si="6"/>
        <v>1</v>
      </c>
      <c r="H48" s="34">
        <f t="shared" si="7"/>
        <v>0</v>
      </c>
    </row>
    <row r="49" spans="1:8" ht="15.75">
      <c r="A49" s="18">
        <v>184</v>
      </c>
      <c r="B49" s="22" t="s">
        <v>36</v>
      </c>
      <c r="C49" s="23">
        <f>16+8+4</f>
        <v>28</v>
      </c>
      <c r="D49" s="23">
        <v>31</v>
      </c>
      <c r="E49" s="23">
        <v>31</v>
      </c>
      <c r="F49" s="24">
        <v>43874</v>
      </c>
      <c r="G49" s="116">
        <f t="shared" si="6"/>
        <v>1</v>
      </c>
      <c r="H49" s="34">
        <f t="shared" si="7"/>
        <v>0</v>
      </c>
    </row>
    <row r="50" spans="1:8" ht="15.75">
      <c r="A50" s="18">
        <v>189</v>
      </c>
      <c r="B50" s="22" t="s">
        <v>57</v>
      </c>
      <c r="C50" s="23">
        <f>7+2+2+3+3+5</f>
        <v>22</v>
      </c>
      <c r="D50" s="23">
        <f>14+7+1+2</f>
        <v>24</v>
      </c>
      <c r="E50" s="23">
        <v>24</v>
      </c>
      <c r="F50" s="80">
        <v>44196</v>
      </c>
      <c r="G50" s="116">
        <f t="shared" si="6"/>
        <v>1</v>
      </c>
      <c r="H50" s="34">
        <f t="shared" si="7"/>
        <v>0</v>
      </c>
    </row>
    <row r="51" spans="1:254" ht="15.75">
      <c r="A51" s="18">
        <v>193</v>
      </c>
      <c r="B51" s="22" t="s">
        <v>58</v>
      </c>
      <c r="C51" s="23">
        <f>21+29+41+35+24+13+1+20+10+1+1+1+1+1</f>
        <v>199</v>
      </c>
      <c r="D51" s="23">
        <v>150</v>
      </c>
      <c r="E51" s="23">
        <v>150</v>
      </c>
      <c r="F51" s="24">
        <v>44260</v>
      </c>
      <c r="G51" s="116">
        <f t="shared" si="6"/>
        <v>1</v>
      </c>
      <c r="H51" s="34">
        <f t="shared" si="7"/>
        <v>0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</row>
    <row r="52" spans="1:254" ht="15.75">
      <c r="A52" s="170">
        <v>204</v>
      </c>
      <c r="B52" s="67" t="s">
        <v>163</v>
      </c>
      <c r="C52" s="23"/>
      <c r="D52" s="23"/>
      <c r="E52" s="23">
        <v>9</v>
      </c>
      <c r="F52" s="24">
        <v>43895</v>
      </c>
      <c r="G52" s="116" t="e">
        <f t="shared" si="6"/>
        <v>#DIV/0!</v>
      </c>
      <c r="H52" s="174">
        <f t="shared" si="7"/>
        <v>9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</row>
    <row r="53" spans="1:9" ht="15.75">
      <c r="A53" s="18">
        <v>234</v>
      </c>
      <c r="B53" s="22" t="s">
        <v>27</v>
      </c>
      <c r="C53" s="23">
        <f>11+1+20+17+9+3+5+1+2+1</f>
        <v>70</v>
      </c>
      <c r="D53" s="23">
        <f>14+11+27+9</f>
        <v>61</v>
      </c>
      <c r="E53" s="23">
        <v>53</v>
      </c>
      <c r="F53" s="24">
        <v>43867</v>
      </c>
      <c r="G53" s="116">
        <f t="shared" si="6"/>
        <v>0.8688524590163934</v>
      </c>
      <c r="H53" s="34">
        <f t="shared" si="7"/>
        <v>-8</v>
      </c>
      <c r="I53" s="30"/>
    </row>
    <row r="54" spans="1:8" ht="15.75">
      <c r="A54" s="18">
        <v>244</v>
      </c>
      <c r="B54" s="22" t="s">
        <v>43</v>
      </c>
      <c r="C54" s="23">
        <f>24+11+3+1+6+6+9+1</f>
        <v>61</v>
      </c>
      <c r="D54" s="23">
        <v>60</v>
      </c>
      <c r="E54" s="23">
        <v>53</v>
      </c>
      <c r="F54" s="24">
        <v>44175</v>
      </c>
      <c r="G54" s="116">
        <f t="shared" si="6"/>
        <v>0.8833333333333333</v>
      </c>
      <c r="H54" s="34">
        <f t="shared" si="7"/>
        <v>-7</v>
      </c>
    </row>
    <row r="55" spans="1:8" ht="15.75">
      <c r="A55" s="18">
        <v>279</v>
      </c>
      <c r="B55" s="22" t="s">
        <v>39</v>
      </c>
      <c r="C55" s="23">
        <f>9+7+8+8+4+2</f>
        <v>38</v>
      </c>
      <c r="D55" s="23">
        <f>23+11+2</f>
        <v>36</v>
      </c>
      <c r="E55" s="23">
        <v>22</v>
      </c>
      <c r="F55" s="24">
        <v>43973</v>
      </c>
      <c r="G55" s="116">
        <f t="shared" si="6"/>
        <v>0.6111111111111112</v>
      </c>
      <c r="H55" s="34">
        <f t="shared" si="7"/>
        <v>-14</v>
      </c>
    </row>
    <row r="56" spans="1:8" ht="15.75">
      <c r="A56" s="18">
        <v>288</v>
      </c>
      <c r="B56" s="22" t="s">
        <v>59</v>
      </c>
      <c r="C56" s="23">
        <f>13+5</f>
        <v>18</v>
      </c>
      <c r="D56" s="23">
        <f>8+3</f>
        <v>11</v>
      </c>
      <c r="E56" s="23">
        <v>14</v>
      </c>
      <c r="F56" s="24">
        <v>43872</v>
      </c>
      <c r="G56" s="116">
        <f t="shared" si="6"/>
        <v>1.2727272727272727</v>
      </c>
      <c r="H56" s="34">
        <f t="shared" si="7"/>
        <v>3</v>
      </c>
    </row>
    <row r="57" spans="1:8" ht="15.75">
      <c r="A57" s="18">
        <v>373</v>
      </c>
      <c r="B57" s="22" t="s">
        <v>28</v>
      </c>
      <c r="C57" s="23">
        <f>16+13+14+4+8+3+3+3</f>
        <v>64</v>
      </c>
      <c r="D57" s="23">
        <f>14+11+5+6+7+13+5+3+3+1</f>
        <v>68</v>
      </c>
      <c r="E57" s="23">
        <v>66</v>
      </c>
      <c r="F57" s="24">
        <v>43924</v>
      </c>
      <c r="G57" s="116">
        <f t="shared" si="6"/>
        <v>0.9705882352941176</v>
      </c>
      <c r="H57" s="34">
        <f t="shared" si="7"/>
        <v>-2</v>
      </c>
    </row>
    <row r="58" spans="1:8" ht="15.75">
      <c r="A58" s="18">
        <v>414</v>
      </c>
      <c r="B58" s="22" t="s">
        <v>123</v>
      </c>
      <c r="C58" s="23">
        <f>61+4+2+1+3+3+2+1</f>
        <v>77</v>
      </c>
      <c r="D58" s="23">
        <v>69</v>
      </c>
      <c r="E58" s="23">
        <v>71</v>
      </c>
      <c r="F58" s="24">
        <v>44078</v>
      </c>
      <c r="G58" s="116">
        <f t="shared" si="6"/>
        <v>1.0289855072463767</v>
      </c>
      <c r="H58" s="34">
        <f t="shared" si="7"/>
        <v>2</v>
      </c>
    </row>
    <row r="59" spans="1:8" ht="15.75">
      <c r="A59" s="18">
        <v>429</v>
      </c>
      <c r="B59" s="22" t="s">
        <v>11</v>
      </c>
      <c r="C59" s="23">
        <f>1+1+1+4+7+3</f>
        <v>17</v>
      </c>
      <c r="D59" s="23">
        <f>1+2+5+1</f>
        <v>9</v>
      </c>
      <c r="E59" s="23">
        <f>9</f>
        <v>9</v>
      </c>
      <c r="F59" s="45">
        <v>43668</v>
      </c>
      <c r="G59" s="116">
        <f t="shared" si="6"/>
        <v>1</v>
      </c>
      <c r="H59" s="34">
        <f t="shared" si="7"/>
        <v>0</v>
      </c>
    </row>
    <row r="60" spans="1:8" ht="15.75">
      <c r="A60" s="18">
        <v>435</v>
      </c>
      <c r="B60" s="22" t="s">
        <v>120</v>
      </c>
      <c r="C60" s="23">
        <f>13+9+7+10+7+9+13+8+2+2+1</f>
        <v>81</v>
      </c>
      <c r="D60" s="23">
        <f>13+3+2+2+8+5+5+4+25+3+2+2+2+1+1</f>
        <v>78</v>
      </c>
      <c r="E60" s="23">
        <v>76</v>
      </c>
      <c r="F60" s="45">
        <v>44175</v>
      </c>
      <c r="G60" s="116">
        <f t="shared" si="6"/>
        <v>0.9743589743589743</v>
      </c>
      <c r="H60" s="34">
        <f t="shared" si="7"/>
        <v>-2</v>
      </c>
    </row>
    <row r="61" spans="1:8" ht="16.5" thickBot="1">
      <c r="A61" s="18">
        <v>443</v>
      </c>
      <c r="B61" s="22" t="s">
        <v>119</v>
      </c>
      <c r="C61" s="52">
        <f>60+21+1</f>
        <v>82</v>
      </c>
      <c r="D61" s="52">
        <v>68</v>
      </c>
      <c r="E61" s="52">
        <v>108</v>
      </c>
      <c r="F61" s="53">
        <v>43980</v>
      </c>
      <c r="G61" s="144">
        <f t="shared" si="6"/>
        <v>1.588235294117647</v>
      </c>
      <c r="H61" s="42">
        <f t="shared" si="7"/>
        <v>40</v>
      </c>
    </row>
    <row r="62" spans="1:8" s="56" customFormat="1" ht="15.75">
      <c r="A62" s="18"/>
      <c r="B62" s="22" t="s">
        <v>7</v>
      </c>
      <c r="C62" s="46">
        <f>SUM(C40:C61)</f>
        <v>1094</v>
      </c>
      <c r="D62" s="46">
        <f>SUM(D40:D61)</f>
        <v>990</v>
      </c>
      <c r="E62" s="46">
        <f>SUM(E40:E61)</f>
        <v>998</v>
      </c>
      <c r="F62" s="49"/>
      <c r="G62" s="145">
        <f t="shared" si="6"/>
        <v>1.0080808080808081</v>
      </c>
      <c r="H62" s="63">
        <f>E62-D62</f>
        <v>8</v>
      </c>
    </row>
    <row r="63" spans="1:8" ht="15.75">
      <c r="A63" s="18"/>
      <c r="B63" s="19"/>
      <c r="C63" s="15"/>
      <c r="D63" s="15"/>
      <c r="E63" s="15"/>
      <c r="F63" s="20" t="s">
        <v>22</v>
      </c>
      <c r="G63" s="146"/>
      <c r="H63" s="19" t="s">
        <v>2</v>
      </c>
    </row>
    <row r="64" spans="1:8" ht="16.5" thickBot="1">
      <c r="A64" s="18"/>
      <c r="B64" s="22" t="s">
        <v>12</v>
      </c>
      <c r="C64" s="122">
        <v>2018</v>
      </c>
      <c r="D64" s="122">
        <v>2019</v>
      </c>
      <c r="E64" s="122">
        <v>2020</v>
      </c>
      <c r="F64" s="20" t="s">
        <v>34</v>
      </c>
      <c r="G64" s="147" t="s">
        <v>1</v>
      </c>
      <c r="H64" s="41">
        <v>1</v>
      </c>
    </row>
    <row r="65" spans="1:8" ht="15.75">
      <c r="A65" s="18">
        <v>19</v>
      </c>
      <c r="B65" s="22" t="s">
        <v>13</v>
      </c>
      <c r="C65" s="39">
        <f>29+21+1</f>
        <v>51</v>
      </c>
      <c r="D65" s="39">
        <v>41</v>
      </c>
      <c r="E65" s="39">
        <v>34</v>
      </c>
      <c r="F65" s="51">
        <v>44078</v>
      </c>
      <c r="G65" s="116">
        <f aca="true" t="shared" si="8" ref="G65:G92">E65/D65</f>
        <v>0.8292682926829268</v>
      </c>
      <c r="H65" s="34">
        <f aca="true" t="shared" si="9" ref="H65:H91">E65-D65</f>
        <v>-7</v>
      </c>
    </row>
    <row r="66" spans="1:8" ht="15.75">
      <c r="A66" s="18">
        <v>39</v>
      </c>
      <c r="B66" s="22" t="s">
        <v>14</v>
      </c>
      <c r="C66" s="23">
        <f>66+5</f>
        <v>71</v>
      </c>
      <c r="D66" s="23">
        <f>76</f>
        <v>76</v>
      </c>
      <c r="E66" s="23">
        <v>82</v>
      </c>
      <c r="F66" s="24">
        <v>43895</v>
      </c>
      <c r="G66" s="116">
        <f t="shared" si="8"/>
        <v>1.0789473684210527</v>
      </c>
      <c r="H66" s="34">
        <f t="shared" si="9"/>
        <v>6</v>
      </c>
    </row>
    <row r="67" spans="1:8" ht="15.75">
      <c r="A67" s="18">
        <v>45</v>
      </c>
      <c r="B67" s="22" t="s">
        <v>60</v>
      </c>
      <c r="C67" s="23">
        <f>18+17+5+6+25+35+6+7+5+3+2+1</f>
        <v>130</v>
      </c>
      <c r="D67" s="23">
        <f>12+11+17+20+10+44+6+6+6+1+3</f>
        <v>136</v>
      </c>
      <c r="E67" s="23">
        <v>121</v>
      </c>
      <c r="F67" s="24">
        <v>43987</v>
      </c>
      <c r="G67" s="116">
        <f t="shared" si="8"/>
        <v>0.8897058823529411</v>
      </c>
      <c r="H67" s="34">
        <f t="shared" si="9"/>
        <v>-15</v>
      </c>
    </row>
    <row r="68" spans="1:8" ht="15.75">
      <c r="A68" s="18">
        <v>55</v>
      </c>
      <c r="B68" s="67" t="s">
        <v>138</v>
      </c>
      <c r="C68" s="23">
        <f>2+3+1+3</f>
        <v>9</v>
      </c>
      <c r="D68" s="23">
        <f>3+3</f>
        <v>6</v>
      </c>
      <c r="E68" s="23">
        <f>5</f>
        <v>5</v>
      </c>
      <c r="F68" s="24">
        <v>43787</v>
      </c>
      <c r="G68" s="116">
        <f t="shared" si="8"/>
        <v>0.8333333333333334</v>
      </c>
      <c r="H68" s="34">
        <f t="shared" si="9"/>
        <v>-1</v>
      </c>
    </row>
    <row r="69" spans="1:8" ht="15.75">
      <c r="A69" s="18">
        <v>62</v>
      </c>
      <c r="B69" s="22" t="s">
        <v>61</v>
      </c>
      <c r="C69" s="23">
        <f>22+24+18+1+16</f>
        <v>81</v>
      </c>
      <c r="D69" s="23">
        <v>76</v>
      </c>
      <c r="E69" s="23">
        <v>60</v>
      </c>
      <c r="F69" s="24">
        <v>43917</v>
      </c>
      <c r="G69" s="116">
        <f t="shared" si="8"/>
        <v>0.7894736842105263</v>
      </c>
      <c r="H69" s="34">
        <f t="shared" si="9"/>
        <v>-16</v>
      </c>
    </row>
    <row r="70" spans="1:8" ht="15.75">
      <c r="A70" s="18">
        <v>69</v>
      </c>
      <c r="B70" s="22" t="s">
        <v>62</v>
      </c>
      <c r="C70" s="23">
        <f>10+13+5+8+3</f>
        <v>39</v>
      </c>
      <c r="D70" s="23">
        <f>4+1</f>
        <v>5</v>
      </c>
      <c r="E70" s="23">
        <v>29</v>
      </c>
      <c r="F70" s="24">
        <v>43902</v>
      </c>
      <c r="G70" s="116">
        <f t="shared" si="8"/>
        <v>5.8</v>
      </c>
      <c r="H70" s="34">
        <f t="shared" si="9"/>
        <v>24</v>
      </c>
    </row>
    <row r="71" spans="1:8" ht="15.75">
      <c r="A71" s="18">
        <v>77</v>
      </c>
      <c r="B71" s="22" t="s">
        <v>63</v>
      </c>
      <c r="C71" s="23">
        <f>5+7+5+4+4+1</f>
        <v>26</v>
      </c>
      <c r="D71" s="23">
        <f>7+5+6+8</f>
        <v>26</v>
      </c>
      <c r="E71" s="23">
        <v>19</v>
      </c>
      <c r="F71" s="24">
        <v>43902</v>
      </c>
      <c r="G71" s="116">
        <f t="shared" si="8"/>
        <v>0.7307692307692307</v>
      </c>
      <c r="H71" s="34">
        <f t="shared" si="9"/>
        <v>-7</v>
      </c>
    </row>
    <row r="72" spans="1:8" ht="15.75">
      <c r="A72" s="18">
        <v>87</v>
      </c>
      <c r="B72" s="22" t="s">
        <v>64</v>
      </c>
      <c r="C72" s="23">
        <f>34</f>
        <v>34</v>
      </c>
      <c r="D72" s="23">
        <f>25</f>
        <v>25</v>
      </c>
      <c r="E72" s="23">
        <v>0</v>
      </c>
      <c r="F72" s="24"/>
      <c r="G72" s="116">
        <f t="shared" si="8"/>
        <v>0</v>
      </c>
      <c r="H72" s="34">
        <f t="shared" si="9"/>
        <v>-25</v>
      </c>
    </row>
    <row r="73" spans="1:8" ht="15.75">
      <c r="A73" s="18">
        <v>101</v>
      </c>
      <c r="B73" s="22" t="s">
        <v>65</v>
      </c>
      <c r="C73" s="23">
        <f>8+2+11+28+28+6+8+6+3+7</f>
        <v>107</v>
      </c>
      <c r="D73" s="23">
        <v>113</v>
      </c>
      <c r="E73" s="23">
        <v>104</v>
      </c>
      <c r="F73" s="24">
        <v>44175</v>
      </c>
      <c r="G73" s="116">
        <f t="shared" si="8"/>
        <v>0.9203539823008849</v>
      </c>
      <c r="H73" s="34">
        <f t="shared" si="9"/>
        <v>-9</v>
      </c>
    </row>
    <row r="74" spans="1:8" ht="15.75">
      <c r="A74" s="18">
        <v>107</v>
      </c>
      <c r="B74" s="22" t="s">
        <v>66</v>
      </c>
      <c r="C74" s="23">
        <f>5</f>
        <v>5</v>
      </c>
      <c r="D74" s="23">
        <f>5</f>
        <v>5</v>
      </c>
      <c r="E74" s="23">
        <v>5</v>
      </c>
      <c r="F74" s="24">
        <v>44196</v>
      </c>
      <c r="G74" s="116">
        <f t="shared" si="8"/>
        <v>1</v>
      </c>
      <c r="H74" s="34">
        <f t="shared" si="9"/>
        <v>0</v>
      </c>
    </row>
    <row r="75" spans="1:8" ht="15.75">
      <c r="A75" s="18">
        <v>115</v>
      </c>
      <c r="B75" s="22" t="s">
        <v>44</v>
      </c>
      <c r="C75" s="23">
        <f>38</f>
        <v>38</v>
      </c>
      <c r="D75" s="23">
        <f>37+6</f>
        <v>43</v>
      </c>
      <c r="E75" s="23">
        <v>40</v>
      </c>
      <c r="F75" s="24">
        <v>43881</v>
      </c>
      <c r="G75" s="116">
        <f t="shared" si="8"/>
        <v>0.9302325581395349</v>
      </c>
      <c r="H75" s="34">
        <f t="shared" si="9"/>
        <v>-3</v>
      </c>
    </row>
    <row r="76" spans="1:8" ht="15.75">
      <c r="A76" s="18">
        <v>132</v>
      </c>
      <c r="B76" s="22" t="s">
        <v>67</v>
      </c>
      <c r="C76" s="23">
        <v>57</v>
      </c>
      <c r="D76" s="23">
        <v>53</v>
      </c>
      <c r="E76" s="23">
        <v>58</v>
      </c>
      <c r="F76" s="24">
        <v>43867</v>
      </c>
      <c r="G76" s="116">
        <f t="shared" si="8"/>
        <v>1.0943396226415094</v>
      </c>
      <c r="H76" s="34">
        <f t="shared" si="9"/>
        <v>5</v>
      </c>
    </row>
    <row r="77" spans="1:8" ht="15.75">
      <c r="A77" s="18">
        <v>136</v>
      </c>
      <c r="B77" s="22" t="s">
        <v>68</v>
      </c>
      <c r="C77" s="23">
        <f>12+6+4+2+7</f>
        <v>31</v>
      </c>
      <c r="D77" s="23">
        <v>34</v>
      </c>
      <c r="E77" s="23">
        <v>35</v>
      </c>
      <c r="F77" s="24">
        <v>44295</v>
      </c>
      <c r="G77" s="116">
        <f t="shared" si="8"/>
        <v>1.0294117647058822</v>
      </c>
      <c r="H77" s="34">
        <f t="shared" si="9"/>
        <v>1</v>
      </c>
    </row>
    <row r="78" spans="1:8" ht="15.75">
      <c r="A78" s="18">
        <v>139</v>
      </c>
      <c r="B78" s="22" t="s">
        <v>69</v>
      </c>
      <c r="C78" s="23">
        <f>7</f>
        <v>7</v>
      </c>
      <c r="D78" s="23">
        <f>1+6</f>
        <v>7</v>
      </c>
      <c r="E78" s="23">
        <f>7</f>
        <v>7</v>
      </c>
      <c r="F78" s="24">
        <v>43712</v>
      </c>
      <c r="G78" s="116">
        <f t="shared" si="8"/>
        <v>1</v>
      </c>
      <c r="H78" s="34">
        <f t="shared" si="9"/>
        <v>0</v>
      </c>
    </row>
    <row r="79" spans="1:8" ht="15.75">
      <c r="A79" s="18">
        <v>156</v>
      </c>
      <c r="B79" s="22" t="s">
        <v>38</v>
      </c>
      <c r="C79" s="23">
        <f>12+6+1+13+16+9+2</f>
        <v>59</v>
      </c>
      <c r="D79" s="23">
        <v>57</v>
      </c>
      <c r="E79" s="23">
        <v>50</v>
      </c>
      <c r="F79" s="24">
        <v>43888</v>
      </c>
      <c r="G79" s="116">
        <f t="shared" si="8"/>
        <v>0.8771929824561403</v>
      </c>
      <c r="H79" s="34">
        <f t="shared" si="9"/>
        <v>-7</v>
      </c>
    </row>
    <row r="80" spans="1:8" ht="15.75">
      <c r="A80" s="18">
        <v>159</v>
      </c>
      <c r="B80" s="22" t="s">
        <v>70</v>
      </c>
      <c r="C80" s="23">
        <f>32+2</f>
        <v>34</v>
      </c>
      <c r="D80" s="23">
        <f>33</f>
        <v>33</v>
      </c>
      <c r="E80" s="23">
        <f>32</f>
        <v>32</v>
      </c>
      <c r="F80" s="24">
        <v>43755</v>
      </c>
      <c r="G80" s="116">
        <f t="shared" si="8"/>
        <v>0.9696969696969697</v>
      </c>
      <c r="H80" s="34">
        <f t="shared" si="9"/>
        <v>-1</v>
      </c>
    </row>
    <row r="81" spans="1:8" ht="15.75">
      <c r="A81" s="18">
        <v>183</v>
      </c>
      <c r="B81" s="22" t="s">
        <v>71</v>
      </c>
      <c r="C81" s="23">
        <f>1+1</f>
        <v>2</v>
      </c>
      <c r="D81" s="70">
        <f>1+1+1+1</f>
        <v>4</v>
      </c>
      <c r="E81" s="23">
        <v>2</v>
      </c>
      <c r="F81" s="24">
        <v>44029</v>
      </c>
      <c r="G81" s="116">
        <f t="shared" si="8"/>
        <v>0.5</v>
      </c>
      <c r="H81" s="34">
        <f t="shared" si="9"/>
        <v>-2</v>
      </c>
    </row>
    <row r="82" spans="1:8" ht="15.75">
      <c r="A82" s="18">
        <v>191</v>
      </c>
      <c r="B82" s="22" t="s">
        <v>72</v>
      </c>
      <c r="C82" s="23">
        <f>12+13</f>
        <v>25</v>
      </c>
      <c r="D82" s="23">
        <f>11+22</f>
        <v>33</v>
      </c>
      <c r="E82" s="23">
        <v>15</v>
      </c>
      <c r="F82" s="24">
        <v>43846</v>
      </c>
      <c r="G82" s="116">
        <f t="shared" si="8"/>
        <v>0.45454545454545453</v>
      </c>
      <c r="H82" s="34">
        <f t="shared" si="9"/>
        <v>-18</v>
      </c>
    </row>
    <row r="83" spans="1:8" ht="15.75">
      <c r="A83" s="18">
        <v>221</v>
      </c>
      <c r="B83" s="22" t="s">
        <v>73</v>
      </c>
      <c r="C83" s="23">
        <f>36+2+8+5+3+5+1+2+1+1</f>
        <v>64</v>
      </c>
      <c r="D83" s="23">
        <v>106</v>
      </c>
      <c r="E83" s="23">
        <v>101</v>
      </c>
      <c r="F83" s="80">
        <v>44000</v>
      </c>
      <c r="G83" s="116">
        <f t="shared" si="8"/>
        <v>0.9528301886792453</v>
      </c>
      <c r="H83" s="34">
        <f t="shared" si="9"/>
        <v>-5</v>
      </c>
    </row>
    <row r="84" spans="1:8" ht="15.75">
      <c r="A84" s="18">
        <v>247</v>
      </c>
      <c r="B84" s="22" t="s">
        <v>74</v>
      </c>
      <c r="C84" s="23">
        <f>4+4+6+4+1+1+1+1+1+3</f>
        <v>26</v>
      </c>
      <c r="D84" s="23">
        <f>4+6+7+2+1+2+2</f>
        <v>24</v>
      </c>
      <c r="E84" s="23">
        <v>15</v>
      </c>
      <c r="F84" s="24">
        <v>43888</v>
      </c>
      <c r="G84" s="116">
        <f t="shared" si="8"/>
        <v>0.625</v>
      </c>
      <c r="H84" s="34">
        <f t="shared" si="9"/>
        <v>-9</v>
      </c>
    </row>
    <row r="85" spans="1:8" ht="15.75">
      <c r="A85" s="18">
        <v>273</v>
      </c>
      <c r="B85" s="22" t="s">
        <v>75</v>
      </c>
      <c r="C85" s="23">
        <f>20+37+18+1+10+1</f>
        <v>87</v>
      </c>
      <c r="D85" s="23">
        <v>81</v>
      </c>
      <c r="E85" s="23">
        <v>84</v>
      </c>
      <c r="F85" s="24">
        <v>44126</v>
      </c>
      <c r="G85" s="116">
        <f t="shared" si="8"/>
        <v>1.037037037037037</v>
      </c>
      <c r="H85" s="34">
        <f t="shared" si="9"/>
        <v>3</v>
      </c>
    </row>
    <row r="86" spans="1:8" ht="15.75">
      <c r="A86" s="18">
        <v>313</v>
      </c>
      <c r="B86" s="22" t="s">
        <v>35</v>
      </c>
      <c r="C86" s="23">
        <f>21</f>
        <v>21</v>
      </c>
      <c r="D86" s="23">
        <f>18+1+2</f>
        <v>21</v>
      </c>
      <c r="E86" s="23">
        <v>30</v>
      </c>
      <c r="F86" s="45">
        <v>43843</v>
      </c>
      <c r="G86" s="116">
        <f t="shared" si="8"/>
        <v>1.4285714285714286</v>
      </c>
      <c r="H86" s="34">
        <f t="shared" si="9"/>
        <v>9</v>
      </c>
    </row>
    <row r="87" spans="1:8" ht="15.75">
      <c r="A87" s="18">
        <v>315</v>
      </c>
      <c r="B87" s="22" t="s">
        <v>76</v>
      </c>
      <c r="C87" s="23">
        <f>6+2+4+8+2+7+2+1+1+1</f>
        <v>34</v>
      </c>
      <c r="D87" s="23">
        <v>49</v>
      </c>
      <c r="E87" s="23">
        <v>54</v>
      </c>
      <c r="F87" s="45">
        <v>43902</v>
      </c>
      <c r="G87" s="116">
        <f t="shared" si="8"/>
        <v>1.1020408163265305</v>
      </c>
      <c r="H87" s="34">
        <f t="shared" si="9"/>
        <v>5</v>
      </c>
    </row>
    <row r="88" spans="1:11" ht="15.75">
      <c r="A88" s="18">
        <v>361</v>
      </c>
      <c r="B88" s="22" t="s">
        <v>77</v>
      </c>
      <c r="C88" s="23">
        <f>17</f>
        <v>17</v>
      </c>
      <c r="D88" s="23">
        <v>20</v>
      </c>
      <c r="E88" s="23">
        <v>18</v>
      </c>
      <c r="F88" s="45">
        <v>44195</v>
      </c>
      <c r="G88" s="116">
        <f t="shared" si="8"/>
        <v>0.9</v>
      </c>
      <c r="H88" s="34">
        <f t="shared" si="9"/>
        <v>-2</v>
      </c>
      <c r="K88" s="57" t="s">
        <v>0</v>
      </c>
    </row>
    <row r="89" spans="1:8" ht="15.75">
      <c r="A89" s="18">
        <v>437</v>
      </c>
      <c r="B89" s="22" t="s">
        <v>78</v>
      </c>
      <c r="C89" s="23">
        <f>17+35+16</f>
        <v>68</v>
      </c>
      <c r="D89" s="23">
        <v>97</v>
      </c>
      <c r="E89" s="23">
        <v>86</v>
      </c>
      <c r="F89" s="45">
        <v>44274</v>
      </c>
      <c r="G89" s="116">
        <f t="shared" si="8"/>
        <v>0.8865979381443299</v>
      </c>
      <c r="H89" s="34">
        <f t="shared" si="9"/>
        <v>-11</v>
      </c>
    </row>
    <row r="90" spans="1:8" ht="15.75">
      <c r="A90" s="18">
        <v>440</v>
      </c>
      <c r="B90" s="22" t="s">
        <v>79</v>
      </c>
      <c r="C90" s="23">
        <f>43+21+48+6+6+7+5+3</f>
        <v>139</v>
      </c>
      <c r="D90" s="23">
        <v>131</v>
      </c>
      <c r="E90" s="23">
        <v>166</v>
      </c>
      <c r="F90" s="80">
        <v>44246</v>
      </c>
      <c r="G90" s="116">
        <f t="shared" si="8"/>
        <v>1.2671755725190839</v>
      </c>
      <c r="H90" s="34">
        <f t="shared" si="9"/>
        <v>35</v>
      </c>
    </row>
    <row r="91" spans="1:8" ht="16.5" thickBot="1">
      <c r="A91" s="7">
        <v>442</v>
      </c>
      <c r="B91" s="22" t="s">
        <v>133</v>
      </c>
      <c r="C91" s="88">
        <f>20</f>
        <v>20</v>
      </c>
      <c r="D91" s="88">
        <f>26</f>
        <v>26</v>
      </c>
      <c r="E91" s="88">
        <v>17</v>
      </c>
      <c r="F91" s="89">
        <v>43931</v>
      </c>
      <c r="G91" s="144">
        <f t="shared" si="8"/>
        <v>0.6538461538461539</v>
      </c>
      <c r="H91" s="42">
        <f t="shared" si="9"/>
        <v>-9</v>
      </c>
    </row>
    <row r="92" spans="1:8" s="56" customFormat="1" ht="15.75">
      <c r="A92" s="18"/>
      <c r="B92" s="22" t="s">
        <v>7</v>
      </c>
      <c r="C92" s="46">
        <f>SUM(C65:C91)</f>
        <v>1282</v>
      </c>
      <c r="D92" s="46">
        <f>SUM(D65:D91)</f>
        <v>1328</v>
      </c>
      <c r="E92" s="46">
        <f>SUM(E65:E91)</f>
        <v>1269</v>
      </c>
      <c r="F92" s="49"/>
      <c r="G92" s="145">
        <f t="shared" si="8"/>
        <v>0.9555722891566265</v>
      </c>
      <c r="H92" s="63">
        <f>E92-D92</f>
        <v>-59</v>
      </c>
    </row>
    <row r="93" spans="1:8" ht="15.75">
      <c r="A93" s="18"/>
      <c r="B93" s="19"/>
      <c r="C93" s="15"/>
      <c r="D93" s="15"/>
      <c r="E93" s="15"/>
      <c r="F93" s="20" t="s">
        <v>22</v>
      </c>
      <c r="G93" s="146"/>
      <c r="H93" s="19" t="s">
        <v>2</v>
      </c>
    </row>
    <row r="94" spans="1:8" ht="16.5" thickBot="1">
      <c r="A94" s="18"/>
      <c r="B94" s="22" t="s">
        <v>15</v>
      </c>
      <c r="C94" s="121">
        <v>2018</v>
      </c>
      <c r="D94" s="121">
        <v>2019</v>
      </c>
      <c r="E94" s="121">
        <v>2020</v>
      </c>
      <c r="F94" s="44" t="s">
        <v>34</v>
      </c>
      <c r="G94" s="147" t="s">
        <v>1</v>
      </c>
      <c r="H94" s="41">
        <v>1</v>
      </c>
    </row>
    <row r="95" spans="1:8" ht="15.75">
      <c r="A95" s="18">
        <v>18</v>
      </c>
      <c r="B95" s="22" t="s">
        <v>80</v>
      </c>
      <c r="C95" s="50">
        <f>24+22+24+23+19+40+34+16+14+6+3+6+2+1+3</f>
        <v>237</v>
      </c>
      <c r="D95" s="50">
        <v>277</v>
      </c>
      <c r="E95" s="50">
        <v>221</v>
      </c>
      <c r="F95" s="51">
        <v>44274</v>
      </c>
      <c r="G95" s="116">
        <f aca="true" t="shared" si="10" ref="G95:G108">E95/D95</f>
        <v>0.7978339350180506</v>
      </c>
      <c r="H95" s="34">
        <f aca="true" t="shared" si="11" ref="H95:H107">E95-D95</f>
        <v>-56</v>
      </c>
    </row>
    <row r="96" spans="1:8" ht="15.75">
      <c r="A96" s="18">
        <v>24</v>
      </c>
      <c r="B96" s="22" t="s">
        <v>81</v>
      </c>
      <c r="C96" s="23">
        <f>15+14+14+11+22+19+14+16+11+4+3+2+1+4+1+1</f>
        <v>152</v>
      </c>
      <c r="D96" s="23">
        <f>14+11+12+13+16+33+10+14+19+6+4+2+1+3+1+1</f>
        <v>160</v>
      </c>
      <c r="E96" s="23">
        <v>152</v>
      </c>
      <c r="F96" s="80">
        <v>44071</v>
      </c>
      <c r="G96" s="116">
        <f t="shared" si="10"/>
        <v>0.95</v>
      </c>
      <c r="H96" s="34">
        <f t="shared" si="11"/>
        <v>-8</v>
      </c>
    </row>
    <row r="97" spans="1:8" ht="15.75">
      <c r="A97" s="18">
        <v>75</v>
      </c>
      <c r="B97" s="67" t="s">
        <v>165</v>
      </c>
      <c r="C97" s="23"/>
      <c r="D97" s="23"/>
      <c r="E97" s="23">
        <v>1</v>
      </c>
      <c r="F97" s="80">
        <v>43895</v>
      </c>
      <c r="G97" s="116" t="e">
        <f t="shared" si="10"/>
        <v>#DIV/0!</v>
      </c>
      <c r="H97" s="174">
        <f t="shared" si="11"/>
        <v>1</v>
      </c>
    </row>
    <row r="98" spans="1:254" ht="15.75">
      <c r="A98" s="18">
        <v>79</v>
      </c>
      <c r="B98" s="22" t="s">
        <v>82</v>
      </c>
      <c r="C98" s="23">
        <f>7+8</f>
        <v>15</v>
      </c>
      <c r="D98" s="23">
        <f>10+12</f>
        <v>22</v>
      </c>
      <c r="E98" s="23">
        <v>22</v>
      </c>
      <c r="F98" s="24">
        <v>43810</v>
      </c>
      <c r="G98" s="116">
        <f t="shared" si="10"/>
        <v>1</v>
      </c>
      <c r="H98" s="34">
        <f t="shared" si="11"/>
        <v>0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</row>
    <row r="99" spans="1:8" ht="16.5" customHeight="1">
      <c r="A99" s="18">
        <v>106</v>
      </c>
      <c r="B99" s="22" t="s">
        <v>84</v>
      </c>
      <c r="C99" s="23">
        <f>31+12+20+2+3+5+1+2+1</f>
        <v>77</v>
      </c>
      <c r="D99" s="23">
        <v>67</v>
      </c>
      <c r="E99" s="23">
        <v>56</v>
      </c>
      <c r="F99" s="24">
        <v>44177</v>
      </c>
      <c r="G99" s="116">
        <f t="shared" si="10"/>
        <v>0.835820895522388</v>
      </c>
      <c r="H99" s="34">
        <f t="shared" si="11"/>
        <v>-11</v>
      </c>
    </row>
    <row r="100" spans="1:8" ht="15.75">
      <c r="A100" s="18">
        <v>110</v>
      </c>
      <c r="B100" s="22" t="s">
        <v>85</v>
      </c>
      <c r="C100" s="23">
        <f>22+9+5</f>
        <v>36</v>
      </c>
      <c r="D100" s="23">
        <f>22+5+6</f>
        <v>33</v>
      </c>
      <c r="E100" s="23">
        <v>22</v>
      </c>
      <c r="F100" s="24">
        <v>43938</v>
      </c>
      <c r="G100" s="116">
        <f t="shared" si="10"/>
        <v>0.6666666666666666</v>
      </c>
      <c r="H100" s="34">
        <f t="shared" si="11"/>
        <v>-11</v>
      </c>
    </row>
    <row r="101" spans="1:8" ht="15.75">
      <c r="A101" s="18">
        <v>114</v>
      </c>
      <c r="B101" s="22" t="s">
        <v>86</v>
      </c>
      <c r="C101" s="23">
        <f>25</f>
        <v>25</v>
      </c>
      <c r="D101" s="23">
        <f>38</f>
        <v>38</v>
      </c>
      <c r="E101" s="23">
        <v>43</v>
      </c>
      <c r="F101" s="24">
        <v>43924</v>
      </c>
      <c r="G101" s="116">
        <f t="shared" si="10"/>
        <v>1.131578947368421</v>
      </c>
      <c r="H101" s="34">
        <f t="shared" si="11"/>
        <v>5</v>
      </c>
    </row>
    <row r="102" spans="1:8" ht="15.75">
      <c r="A102" s="18">
        <v>118</v>
      </c>
      <c r="B102" s="22" t="s">
        <v>87</v>
      </c>
      <c r="C102" s="23">
        <f>47</f>
        <v>47</v>
      </c>
      <c r="D102" s="23">
        <f>19+26</f>
        <v>45</v>
      </c>
      <c r="E102" s="23">
        <v>67</v>
      </c>
      <c r="F102" s="24">
        <v>44008</v>
      </c>
      <c r="G102" s="116">
        <f t="shared" si="10"/>
        <v>1.488888888888889</v>
      </c>
      <c r="H102" s="34">
        <f t="shared" si="11"/>
        <v>22</v>
      </c>
    </row>
    <row r="103" spans="1:8" ht="15.75">
      <c r="A103" s="18">
        <v>209</v>
      </c>
      <c r="B103" s="22" t="s">
        <v>127</v>
      </c>
      <c r="C103" s="23">
        <f>30</f>
        <v>30</v>
      </c>
      <c r="D103" s="23">
        <f>30</f>
        <v>30</v>
      </c>
      <c r="E103" s="23">
        <v>32</v>
      </c>
      <c r="F103" s="24">
        <v>44196</v>
      </c>
      <c r="G103" s="116">
        <f t="shared" si="10"/>
        <v>1.0666666666666667</v>
      </c>
      <c r="H103" s="34">
        <f t="shared" si="11"/>
        <v>2</v>
      </c>
    </row>
    <row r="104" spans="1:8" ht="15.75">
      <c r="A104" s="18">
        <v>225</v>
      </c>
      <c r="B104" s="22" t="s">
        <v>89</v>
      </c>
      <c r="C104" s="23">
        <f>16+5+6+2</f>
        <v>29</v>
      </c>
      <c r="D104" s="23">
        <f>13+14+1</f>
        <v>28</v>
      </c>
      <c r="E104" s="23">
        <v>25</v>
      </c>
      <c r="F104" s="24">
        <v>44000</v>
      </c>
      <c r="G104" s="116">
        <f t="shared" si="10"/>
        <v>0.8928571428571429</v>
      </c>
      <c r="H104" s="34">
        <f t="shared" si="11"/>
        <v>-3</v>
      </c>
    </row>
    <row r="105" spans="1:8" ht="15.75">
      <c r="A105" s="18">
        <v>294</v>
      </c>
      <c r="B105" s="22" t="s">
        <v>29</v>
      </c>
      <c r="C105" s="23">
        <f>3+10+7+10+3+6+4+5+1+1+1</f>
        <v>51</v>
      </c>
      <c r="D105" s="23">
        <f>22+12+12+4+4+1</f>
        <v>55</v>
      </c>
      <c r="E105" s="23">
        <v>67</v>
      </c>
      <c r="F105" s="24">
        <v>44175</v>
      </c>
      <c r="G105" s="116">
        <f t="shared" si="10"/>
        <v>1.2181818181818183</v>
      </c>
      <c r="H105" s="34">
        <f t="shared" si="11"/>
        <v>12</v>
      </c>
    </row>
    <row r="106" spans="1:8" ht="15.75">
      <c r="A106" s="18">
        <v>380</v>
      </c>
      <c r="B106" s="22" t="s">
        <v>91</v>
      </c>
      <c r="C106" s="23">
        <f>10</f>
        <v>10</v>
      </c>
      <c r="D106" s="23">
        <f>9+3</f>
        <v>12</v>
      </c>
      <c r="E106" s="23">
        <v>12</v>
      </c>
      <c r="F106" s="24">
        <v>43810</v>
      </c>
      <c r="G106" s="116">
        <f t="shared" si="10"/>
        <v>1</v>
      </c>
      <c r="H106" s="34">
        <f t="shared" si="11"/>
        <v>0</v>
      </c>
    </row>
    <row r="107" spans="1:8" ht="16.5" thickBot="1">
      <c r="A107" s="18">
        <v>382</v>
      </c>
      <c r="B107" s="22" t="s">
        <v>90</v>
      </c>
      <c r="C107" s="52">
        <f>2+11+10+5+10+16+12+2+15</f>
        <v>83</v>
      </c>
      <c r="D107" s="52">
        <f>25+17+35+1+14+6+1+3</f>
        <v>102</v>
      </c>
      <c r="E107" s="52">
        <v>76</v>
      </c>
      <c r="F107" s="53">
        <v>44141</v>
      </c>
      <c r="G107" s="144">
        <f t="shared" si="10"/>
        <v>0.7450980392156863</v>
      </c>
      <c r="H107" s="42">
        <f t="shared" si="11"/>
        <v>-26</v>
      </c>
    </row>
    <row r="108" spans="1:8" s="56" customFormat="1" ht="15.75">
      <c r="A108" s="18"/>
      <c r="B108" s="22" t="s">
        <v>7</v>
      </c>
      <c r="C108" s="46">
        <f>SUM(C95:C107)</f>
        <v>792</v>
      </c>
      <c r="D108" s="46">
        <f>SUM(D95:D107)</f>
        <v>869</v>
      </c>
      <c r="E108" s="46">
        <f>SUM(E95:E107)</f>
        <v>796</v>
      </c>
      <c r="F108" s="49"/>
      <c r="G108" s="145">
        <f t="shared" si="10"/>
        <v>0.9159953970080552</v>
      </c>
      <c r="H108" s="63">
        <f>E108-D108</f>
        <v>-73</v>
      </c>
    </row>
    <row r="109" spans="1:8" ht="15.75">
      <c r="A109" s="18"/>
      <c r="B109" s="22"/>
      <c r="C109" s="15"/>
      <c r="D109" s="15"/>
      <c r="E109" s="15"/>
      <c r="F109" s="20" t="s">
        <v>22</v>
      </c>
      <c r="G109" s="146"/>
      <c r="H109" s="19" t="s">
        <v>2</v>
      </c>
    </row>
    <row r="110" spans="1:8" ht="16.5" thickBot="1">
      <c r="A110" s="18"/>
      <c r="B110" s="22" t="s">
        <v>16</v>
      </c>
      <c r="C110" s="121">
        <v>2018</v>
      </c>
      <c r="D110" s="121">
        <v>2019</v>
      </c>
      <c r="E110" s="121">
        <v>2020</v>
      </c>
      <c r="F110" s="20" t="s">
        <v>34</v>
      </c>
      <c r="G110" s="147" t="s">
        <v>1</v>
      </c>
      <c r="H110" s="41">
        <v>1</v>
      </c>
    </row>
    <row r="111" spans="1:8" ht="15.75">
      <c r="A111" s="18">
        <v>16</v>
      </c>
      <c r="B111" s="22" t="s">
        <v>92</v>
      </c>
      <c r="C111" s="37">
        <f>16+1+3+12</f>
        <v>32</v>
      </c>
      <c r="D111" s="37">
        <f>4+32+1</f>
        <v>37</v>
      </c>
      <c r="E111" s="37">
        <v>37</v>
      </c>
      <c r="F111" s="38">
        <v>43902</v>
      </c>
      <c r="G111" s="116">
        <f aca="true" t="shared" si="12" ref="G111:G117">E111/D111</f>
        <v>1</v>
      </c>
      <c r="H111" s="34">
        <f aca="true" t="shared" si="13" ref="H111:H117">E111-D111</f>
        <v>0</v>
      </c>
    </row>
    <row r="112" spans="1:8" ht="15.75">
      <c r="A112" s="18">
        <v>26</v>
      </c>
      <c r="B112" s="67" t="s">
        <v>135</v>
      </c>
      <c r="C112" s="90">
        <f>1+2+1+1</f>
        <v>5</v>
      </c>
      <c r="D112" s="90">
        <f>1+4+1</f>
        <v>6</v>
      </c>
      <c r="E112" s="90">
        <v>6</v>
      </c>
      <c r="F112" s="91">
        <v>43845</v>
      </c>
      <c r="G112" s="116">
        <f t="shared" si="12"/>
        <v>1</v>
      </c>
      <c r="H112" s="34">
        <f t="shared" si="13"/>
        <v>0</v>
      </c>
    </row>
    <row r="113" spans="1:8" ht="15.75">
      <c r="A113" s="18">
        <v>61</v>
      </c>
      <c r="B113" s="67" t="s">
        <v>134</v>
      </c>
      <c r="C113" s="31">
        <f>16+3</f>
        <v>19</v>
      </c>
      <c r="D113" s="31">
        <f>10+10</f>
        <v>20</v>
      </c>
      <c r="E113" s="31">
        <v>20</v>
      </c>
      <c r="F113" s="32">
        <v>43879</v>
      </c>
      <c r="G113" s="116">
        <f t="shared" si="12"/>
        <v>1</v>
      </c>
      <c r="H113" s="34">
        <f t="shared" si="13"/>
        <v>0</v>
      </c>
    </row>
    <row r="114" spans="1:8" ht="15.75">
      <c r="A114" s="18">
        <v>78</v>
      </c>
      <c r="B114" s="22" t="s">
        <v>93</v>
      </c>
      <c r="C114" s="31">
        <f>5+13+3+10+4+3+4+1+1+2+5+2</f>
        <v>53</v>
      </c>
      <c r="D114" s="31">
        <f>17+6+5+2+3+5+1+2+10+2+3</f>
        <v>56</v>
      </c>
      <c r="E114" s="31">
        <v>58</v>
      </c>
      <c r="F114" s="32">
        <v>43909</v>
      </c>
      <c r="G114" s="116">
        <f t="shared" si="12"/>
        <v>1.0357142857142858</v>
      </c>
      <c r="H114" s="34">
        <f t="shared" si="13"/>
        <v>2</v>
      </c>
    </row>
    <row r="115" spans="1:8" ht="15.75">
      <c r="A115" s="18">
        <v>117</v>
      </c>
      <c r="B115" s="67" t="s">
        <v>136</v>
      </c>
      <c r="C115" s="31">
        <f>2</f>
        <v>2</v>
      </c>
      <c r="D115" s="31">
        <f>2</f>
        <v>2</v>
      </c>
      <c r="E115" s="31">
        <f>3</f>
        <v>3</v>
      </c>
      <c r="F115" s="32">
        <v>43668</v>
      </c>
      <c r="G115" s="116">
        <f t="shared" si="12"/>
        <v>1.5</v>
      </c>
      <c r="H115" s="111">
        <f t="shared" si="13"/>
        <v>1</v>
      </c>
    </row>
    <row r="116" spans="1:8" ht="16.5" thickBot="1">
      <c r="A116" s="170">
        <v>368</v>
      </c>
      <c r="B116" s="67" t="s">
        <v>159</v>
      </c>
      <c r="C116" s="35"/>
      <c r="D116" s="35"/>
      <c r="E116" s="35">
        <f>7</f>
        <v>7</v>
      </c>
      <c r="F116" s="97">
        <v>43795</v>
      </c>
      <c r="G116" s="144" t="e">
        <f t="shared" si="12"/>
        <v>#DIV/0!</v>
      </c>
      <c r="H116" s="176">
        <f t="shared" si="13"/>
        <v>7</v>
      </c>
    </row>
    <row r="117" spans="1:8" s="56" customFormat="1" ht="15.75">
      <c r="A117" s="18"/>
      <c r="B117" s="22" t="s">
        <v>7</v>
      </c>
      <c r="C117" s="46">
        <f>SUM(C111:C116)</f>
        <v>111</v>
      </c>
      <c r="D117" s="46">
        <f>SUM(D111:D116)</f>
        <v>121</v>
      </c>
      <c r="E117" s="46">
        <f>SUM(E111:E116)</f>
        <v>131</v>
      </c>
      <c r="F117" s="49"/>
      <c r="G117" s="145">
        <f t="shared" si="12"/>
        <v>1.0826446280991735</v>
      </c>
      <c r="H117" s="63">
        <f t="shared" si="13"/>
        <v>10</v>
      </c>
    </row>
    <row r="118" spans="1:10" ht="15.75">
      <c r="A118" s="18"/>
      <c r="B118" s="22"/>
      <c r="C118" s="15"/>
      <c r="D118" s="15"/>
      <c r="E118" s="15"/>
      <c r="F118" s="20" t="s">
        <v>22</v>
      </c>
      <c r="G118" s="146"/>
      <c r="H118" s="19" t="s">
        <v>2</v>
      </c>
      <c r="J118" s="54" t="s">
        <v>0</v>
      </c>
    </row>
    <row r="119" spans="1:8" ht="16.5" thickBot="1">
      <c r="A119" s="18"/>
      <c r="B119" s="22" t="s">
        <v>17</v>
      </c>
      <c r="C119" s="121">
        <v>2018</v>
      </c>
      <c r="D119" s="121">
        <v>2019</v>
      </c>
      <c r="E119" s="121">
        <v>2020</v>
      </c>
      <c r="F119" s="20" t="s">
        <v>34</v>
      </c>
      <c r="G119" s="147" t="s">
        <v>1</v>
      </c>
      <c r="H119" s="41">
        <v>1</v>
      </c>
    </row>
    <row r="120" spans="1:8" ht="15.75">
      <c r="A120" s="18">
        <v>3</v>
      </c>
      <c r="B120" s="22" t="s">
        <v>94</v>
      </c>
      <c r="C120" s="50">
        <f>6+9+2+2+1+1+6+1+3+4+4+3+2+2+1</f>
        <v>47</v>
      </c>
      <c r="D120" s="50">
        <f>1+8+3+3+1+6+2+6+1+2+3+1+1+1+1+1+1+1+1</f>
        <v>44</v>
      </c>
      <c r="E120" s="50">
        <v>59</v>
      </c>
      <c r="F120" s="99">
        <v>44126</v>
      </c>
      <c r="G120" s="116">
        <f aca="true" t="shared" si="14" ref="G120:G128">E120/D120</f>
        <v>1.3409090909090908</v>
      </c>
      <c r="H120" s="34">
        <f aca="true" t="shared" si="15" ref="H120:H127">E120-D120</f>
        <v>15</v>
      </c>
    </row>
    <row r="121" spans="1:8" ht="15.75">
      <c r="A121" s="18">
        <v>4</v>
      </c>
      <c r="B121" s="22" t="s">
        <v>95</v>
      </c>
      <c r="C121" s="23">
        <f>11+8+6+6+6+5+4+2+1+1+3+1+2</f>
        <v>56</v>
      </c>
      <c r="D121" s="23">
        <f>15+2+11+5+11+3+8+2+1</f>
        <v>58</v>
      </c>
      <c r="E121" s="23">
        <v>61</v>
      </c>
      <c r="F121" s="45">
        <v>43987</v>
      </c>
      <c r="G121" s="116">
        <f t="shared" si="14"/>
        <v>1.0517241379310345</v>
      </c>
      <c r="H121" s="34">
        <f t="shared" si="15"/>
        <v>3</v>
      </c>
    </row>
    <row r="122" spans="1:8" ht="15.75">
      <c r="A122" s="18">
        <v>6</v>
      </c>
      <c r="B122" s="22" t="s">
        <v>96</v>
      </c>
      <c r="C122" s="23">
        <f>7+5</f>
        <v>12</v>
      </c>
      <c r="D122" s="23">
        <f>0</f>
        <v>0</v>
      </c>
      <c r="E122" s="23">
        <v>6</v>
      </c>
      <c r="F122" s="45">
        <v>44260</v>
      </c>
      <c r="G122" s="116" t="e">
        <f t="shared" si="14"/>
        <v>#DIV/0!</v>
      </c>
      <c r="H122" s="34">
        <f t="shared" si="15"/>
        <v>6</v>
      </c>
    </row>
    <row r="123" spans="1:8" ht="15.75">
      <c r="A123" s="18">
        <v>113</v>
      </c>
      <c r="B123" s="22" t="s">
        <v>97</v>
      </c>
      <c r="C123" s="23">
        <f>1+9+8+8+8+10+8+6+10+7+8+4</f>
        <v>87</v>
      </c>
      <c r="D123" s="23">
        <f>7+11+8+10+12+12+8+8+7+3+2</f>
        <v>88</v>
      </c>
      <c r="E123" s="23">
        <v>76</v>
      </c>
      <c r="F123" s="24">
        <v>44141</v>
      </c>
      <c r="G123" s="116">
        <f t="shared" si="14"/>
        <v>0.8636363636363636</v>
      </c>
      <c r="H123" s="34">
        <f t="shared" si="15"/>
        <v>-12</v>
      </c>
    </row>
    <row r="124" spans="1:8" ht="15.75">
      <c r="A124" s="18">
        <v>122</v>
      </c>
      <c r="B124" s="22" t="s">
        <v>124</v>
      </c>
      <c r="C124" s="23">
        <f>10+4+6+1+4+1</f>
        <v>26</v>
      </c>
      <c r="D124" s="23">
        <f>11+6+3</f>
        <v>20</v>
      </c>
      <c r="E124" s="23">
        <v>24</v>
      </c>
      <c r="F124" s="24">
        <v>43957</v>
      </c>
      <c r="G124" s="116">
        <f t="shared" si="14"/>
        <v>1.2</v>
      </c>
      <c r="H124" s="34">
        <f t="shared" si="15"/>
        <v>4</v>
      </c>
    </row>
    <row r="125" spans="1:254" ht="15.75">
      <c r="A125" s="18">
        <v>194</v>
      </c>
      <c r="B125" s="22" t="s">
        <v>98</v>
      </c>
      <c r="C125" s="70">
        <f>66+6+6</f>
        <v>78</v>
      </c>
      <c r="D125" s="70">
        <f>74+11</f>
        <v>85</v>
      </c>
      <c r="E125" s="70">
        <v>66</v>
      </c>
      <c r="F125" s="24">
        <v>43888</v>
      </c>
      <c r="G125" s="116">
        <f t="shared" si="14"/>
        <v>0.7764705882352941</v>
      </c>
      <c r="H125" s="34">
        <f t="shared" si="15"/>
        <v>-19</v>
      </c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</row>
    <row r="126" spans="1:8" ht="15.75">
      <c r="A126" s="18">
        <v>227</v>
      </c>
      <c r="B126" s="22" t="s">
        <v>100</v>
      </c>
      <c r="C126" s="23">
        <f>18+10+13+6+11+8+3+8+1</f>
        <v>78</v>
      </c>
      <c r="D126" s="23">
        <f>9+8+13+10+8+4+3+2+17+4+5+1+1</f>
        <v>85</v>
      </c>
      <c r="E126" s="23">
        <v>89</v>
      </c>
      <c r="F126" s="45">
        <v>43994</v>
      </c>
      <c r="G126" s="116">
        <f>E126/D126</f>
        <v>1.0470588235294118</v>
      </c>
      <c r="H126" s="34">
        <f t="shared" si="15"/>
        <v>4</v>
      </c>
    </row>
    <row r="127" spans="1:8" ht="16.5" thickBot="1">
      <c r="A127" s="18">
        <v>331</v>
      </c>
      <c r="B127" s="22" t="s">
        <v>101</v>
      </c>
      <c r="C127" s="52">
        <f>3+3+5+1+3+4+5+5+3+3+1+1+9+3+8+2</f>
        <v>59</v>
      </c>
      <c r="D127" s="52">
        <v>63</v>
      </c>
      <c r="E127" s="52">
        <v>65</v>
      </c>
      <c r="F127" s="53">
        <v>43987</v>
      </c>
      <c r="G127" s="144">
        <f t="shared" si="14"/>
        <v>1.0317460317460319</v>
      </c>
      <c r="H127" s="42">
        <f t="shared" si="15"/>
        <v>2</v>
      </c>
    </row>
    <row r="128" spans="1:8" s="56" customFormat="1" ht="15.75">
      <c r="A128" s="18"/>
      <c r="B128" s="137" t="s">
        <v>7</v>
      </c>
      <c r="C128" s="64">
        <f>SUM(C120:C127)</f>
        <v>443</v>
      </c>
      <c r="D128" s="64">
        <f>SUM(D120:D127)</f>
        <v>443</v>
      </c>
      <c r="E128" s="64">
        <f>SUM(E120:E127)</f>
        <v>446</v>
      </c>
      <c r="F128" s="49"/>
      <c r="G128" s="145">
        <f t="shared" si="14"/>
        <v>1.0067720090293453</v>
      </c>
      <c r="H128" s="63">
        <f>E128-D128</f>
        <v>3</v>
      </c>
    </row>
    <row r="129" spans="1:8" ht="15.75">
      <c r="A129" s="18"/>
      <c r="B129" s="19"/>
      <c r="C129" s="15"/>
      <c r="D129" s="15"/>
      <c r="E129" s="15"/>
      <c r="F129" s="20" t="s">
        <v>22</v>
      </c>
      <c r="G129" s="146"/>
      <c r="H129" s="19" t="s">
        <v>2</v>
      </c>
    </row>
    <row r="130" spans="1:8" ht="16.5" thickBot="1">
      <c r="A130" s="18"/>
      <c r="B130" s="22" t="s">
        <v>18</v>
      </c>
      <c r="C130" s="121">
        <v>2018</v>
      </c>
      <c r="D130" s="121">
        <v>2019</v>
      </c>
      <c r="E130" s="121">
        <v>2020</v>
      </c>
      <c r="F130" s="20" t="s">
        <v>34</v>
      </c>
      <c r="G130" s="149" t="s">
        <v>1</v>
      </c>
      <c r="H130" s="48">
        <v>1</v>
      </c>
    </row>
    <row r="131" spans="1:8" ht="15.75">
      <c r="A131" s="18">
        <v>1</v>
      </c>
      <c r="B131" s="67" t="s">
        <v>151</v>
      </c>
      <c r="C131" s="133"/>
      <c r="D131" s="138">
        <v>2</v>
      </c>
      <c r="E131" s="138">
        <f>5</f>
        <v>5</v>
      </c>
      <c r="F131" s="134">
        <v>43781</v>
      </c>
      <c r="G131" s="125">
        <f>E131/D131</f>
        <v>2.5</v>
      </c>
      <c r="H131" s="140">
        <f>E131-D131</f>
        <v>3</v>
      </c>
    </row>
    <row r="132" spans="1:8" ht="15.75">
      <c r="A132" s="170">
        <v>49</v>
      </c>
      <c r="B132" s="67" t="s">
        <v>157</v>
      </c>
      <c r="C132" s="155"/>
      <c r="D132" s="156"/>
      <c r="E132" s="156">
        <f>1+1</f>
        <v>2</v>
      </c>
      <c r="F132" s="157">
        <v>43803</v>
      </c>
      <c r="G132" s="116" t="e">
        <f>E132/D132</f>
        <v>#DIV/0!</v>
      </c>
      <c r="H132" s="158">
        <f>E132-D132</f>
        <v>2</v>
      </c>
    </row>
    <row r="133" spans="1:8" ht="15.75">
      <c r="A133" s="18">
        <v>121</v>
      </c>
      <c r="B133" s="22" t="s">
        <v>102</v>
      </c>
      <c r="C133" s="90">
        <f>5+1+1+1+1+1+3+1+2+1+1</f>
        <v>18</v>
      </c>
      <c r="D133" s="90">
        <f>1+2+1+4+1+1+6+1+1</f>
        <v>18</v>
      </c>
      <c r="E133" s="90">
        <f>4+7+3</f>
        <v>14</v>
      </c>
      <c r="F133" s="91">
        <v>43789</v>
      </c>
      <c r="G133" s="126">
        <f aca="true" t="shared" si="16" ref="G133:G143">E133/D133</f>
        <v>0.7777777777777778</v>
      </c>
      <c r="H133" s="131">
        <f aca="true" t="shared" si="17" ref="H133:H142">E133-D133</f>
        <v>-4</v>
      </c>
    </row>
    <row r="134" spans="1:8" ht="15.75">
      <c r="A134" s="170">
        <v>166</v>
      </c>
      <c r="B134" s="67" t="s">
        <v>158</v>
      </c>
      <c r="C134" s="159"/>
      <c r="D134" s="159"/>
      <c r="E134" s="159">
        <v>7</v>
      </c>
      <c r="F134" s="160">
        <v>43839</v>
      </c>
      <c r="G134" s="126" t="e">
        <f t="shared" si="16"/>
        <v>#DIV/0!</v>
      </c>
      <c r="H134" s="34">
        <f t="shared" si="17"/>
        <v>7</v>
      </c>
    </row>
    <row r="135" spans="1:8" ht="15.75">
      <c r="A135" s="18">
        <v>222</v>
      </c>
      <c r="B135" s="22" t="s">
        <v>103</v>
      </c>
      <c r="C135" s="100">
        <f>3+2</f>
        <v>5</v>
      </c>
      <c r="D135" s="100">
        <f>2+1+2+1+5+1</f>
        <v>12</v>
      </c>
      <c r="E135" s="100">
        <v>10</v>
      </c>
      <c r="F135" s="58">
        <v>43853</v>
      </c>
      <c r="G135" s="126">
        <f t="shared" si="16"/>
        <v>0.8333333333333334</v>
      </c>
      <c r="H135" s="34">
        <f t="shared" si="17"/>
        <v>-2</v>
      </c>
    </row>
    <row r="136" spans="1:8" ht="15.75">
      <c r="A136" s="18">
        <v>228</v>
      </c>
      <c r="B136" s="67" t="s">
        <v>130</v>
      </c>
      <c r="C136" s="31">
        <f>11+6+2+4+4+3+1</f>
        <v>31</v>
      </c>
      <c r="D136" s="31">
        <f>17+10+2+2+23+6+6+7+2</f>
        <v>75</v>
      </c>
      <c r="E136" s="31">
        <v>62</v>
      </c>
      <c r="F136" s="79">
        <v>43895</v>
      </c>
      <c r="G136" s="116">
        <f t="shared" si="16"/>
        <v>0.8266666666666667</v>
      </c>
      <c r="H136" s="34">
        <f t="shared" si="17"/>
        <v>-13</v>
      </c>
    </row>
    <row r="137" spans="1:9" ht="15.75">
      <c r="A137" s="18">
        <v>302</v>
      </c>
      <c r="B137" s="22" t="s">
        <v>104</v>
      </c>
      <c r="C137" s="100">
        <f>13+6+5+3+3+1+1+1+1+1</f>
        <v>35</v>
      </c>
      <c r="D137" s="100">
        <f>14+4+2+1+1+5+1+1+4+2+1+2</f>
        <v>38</v>
      </c>
      <c r="E137" s="100">
        <v>42</v>
      </c>
      <c r="F137" s="24">
        <v>44274</v>
      </c>
      <c r="G137" s="116">
        <f t="shared" si="16"/>
        <v>1.105263157894737</v>
      </c>
      <c r="H137" s="34">
        <f t="shared" si="17"/>
        <v>4</v>
      </c>
      <c r="I137" s="29"/>
    </row>
    <row r="138" spans="1:8" ht="15.75">
      <c r="A138" s="18">
        <v>303</v>
      </c>
      <c r="B138" s="22" t="s">
        <v>30</v>
      </c>
      <c r="C138" s="100">
        <f>15+1</f>
        <v>16</v>
      </c>
      <c r="D138" s="100">
        <f>11+1+6+2</f>
        <v>20</v>
      </c>
      <c r="E138" s="100">
        <f>18+1</f>
        <v>19</v>
      </c>
      <c r="F138" s="24">
        <v>43755</v>
      </c>
      <c r="G138" s="116">
        <f t="shared" si="16"/>
        <v>0.95</v>
      </c>
      <c r="H138" s="34">
        <f t="shared" si="17"/>
        <v>-1</v>
      </c>
    </row>
    <row r="139" spans="1:8" ht="15.75">
      <c r="A139" s="18">
        <v>311</v>
      </c>
      <c r="B139" s="22" t="s">
        <v>105</v>
      </c>
      <c r="C139" s="117">
        <v>28</v>
      </c>
      <c r="D139" s="117">
        <f>28</f>
        <v>28</v>
      </c>
      <c r="E139" s="117">
        <f>29</f>
        <v>29</v>
      </c>
      <c r="F139" s="24">
        <v>43717</v>
      </c>
      <c r="G139" s="116">
        <f t="shared" si="16"/>
        <v>1.0357142857142858</v>
      </c>
      <c r="H139" s="34">
        <f t="shared" si="17"/>
        <v>1</v>
      </c>
    </row>
    <row r="140" spans="1:8" ht="15.75">
      <c r="A140" s="18">
        <v>312</v>
      </c>
      <c r="B140" s="22" t="s">
        <v>106</v>
      </c>
      <c r="C140" s="101">
        <v>33</v>
      </c>
      <c r="D140" s="101">
        <f>4+8+5+3+2+1+1+2+1</f>
        <v>27</v>
      </c>
      <c r="E140" s="101">
        <v>31</v>
      </c>
      <c r="F140" s="24">
        <v>44141</v>
      </c>
      <c r="G140" s="116">
        <f t="shared" si="16"/>
        <v>1.1481481481481481</v>
      </c>
      <c r="H140" s="34">
        <f t="shared" si="17"/>
        <v>4</v>
      </c>
    </row>
    <row r="141" spans="1:8" ht="15.75">
      <c r="A141" s="18">
        <v>314</v>
      </c>
      <c r="B141" s="22" t="s">
        <v>107</v>
      </c>
      <c r="C141" s="102">
        <f>13+15</f>
        <v>28</v>
      </c>
      <c r="D141" s="102">
        <f>0</f>
        <v>0</v>
      </c>
      <c r="E141" s="102">
        <f>0</f>
        <v>0</v>
      </c>
      <c r="F141" s="24"/>
      <c r="G141" s="116" t="e">
        <f t="shared" si="16"/>
        <v>#DIV/0!</v>
      </c>
      <c r="H141" s="34">
        <f t="shared" si="17"/>
        <v>0</v>
      </c>
    </row>
    <row r="142" spans="1:8" ht="16.5" thickBot="1">
      <c r="A142" s="18">
        <v>405</v>
      </c>
      <c r="B142" s="22" t="s">
        <v>122</v>
      </c>
      <c r="C142" s="52">
        <f>30</f>
        <v>30</v>
      </c>
      <c r="D142" s="52">
        <f>30</f>
        <v>30</v>
      </c>
      <c r="E142" s="52">
        <v>27</v>
      </c>
      <c r="F142" s="53">
        <v>43874</v>
      </c>
      <c r="G142" s="144">
        <f t="shared" si="16"/>
        <v>0.9</v>
      </c>
      <c r="H142" s="42">
        <f t="shared" si="17"/>
        <v>-3</v>
      </c>
    </row>
    <row r="143" spans="1:8" s="56" customFormat="1" ht="15.75">
      <c r="A143" s="18"/>
      <c r="B143" s="22" t="s">
        <v>7</v>
      </c>
      <c r="C143" s="46">
        <f>SUM(C133:C142)</f>
        <v>224</v>
      </c>
      <c r="D143" s="46">
        <f>SUM(D131:D142)</f>
        <v>250</v>
      </c>
      <c r="E143" s="46">
        <f>SUM(E131:E142)</f>
        <v>248</v>
      </c>
      <c r="F143" s="49"/>
      <c r="G143" s="145">
        <f t="shared" si="16"/>
        <v>0.992</v>
      </c>
      <c r="H143" s="63">
        <f>E143-D143</f>
        <v>-2</v>
      </c>
    </row>
    <row r="144" spans="1:8" ht="15.75">
      <c r="A144" s="18"/>
      <c r="B144" s="22"/>
      <c r="C144" s="15"/>
      <c r="D144" s="15"/>
      <c r="E144" s="15"/>
      <c r="F144" s="20" t="s">
        <v>22</v>
      </c>
      <c r="G144" s="146"/>
      <c r="H144" s="19" t="s">
        <v>2</v>
      </c>
    </row>
    <row r="145" spans="1:8" ht="16.5" thickBot="1">
      <c r="A145" s="18"/>
      <c r="B145" s="22" t="s">
        <v>19</v>
      </c>
      <c r="C145" s="121">
        <v>2018</v>
      </c>
      <c r="D145" s="121">
        <v>2019</v>
      </c>
      <c r="E145" s="121">
        <v>2020</v>
      </c>
      <c r="F145" s="44" t="s">
        <v>34</v>
      </c>
      <c r="G145" s="147" t="s">
        <v>1</v>
      </c>
      <c r="H145" s="41">
        <v>1</v>
      </c>
    </row>
    <row r="146" spans="1:8" ht="15.75">
      <c r="A146" s="18">
        <v>22</v>
      </c>
      <c r="B146" s="22" t="s">
        <v>108</v>
      </c>
      <c r="C146" s="68">
        <f>20+11+6+6+5+1+1</f>
        <v>50</v>
      </c>
      <c r="D146" s="68">
        <v>54</v>
      </c>
      <c r="E146" s="68">
        <v>46</v>
      </c>
      <c r="F146" s="58">
        <v>43973</v>
      </c>
      <c r="G146" s="116">
        <f aca="true" t="shared" si="18" ref="G146:G160">E146/D146</f>
        <v>0.8518518518518519</v>
      </c>
      <c r="H146" s="34">
        <f aca="true" t="shared" si="19" ref="H146:H159">E146-D146</f>
        <v>-8</v>
      </c>
    </row>
    <row r="147" spans="1:254" ht="15.75">
      <c r="A147" s="18">
        <v>40</v>
      </c>
      <c r="B147" s="22" t="s">
        <v>109</v>
      </c>
      <c r="C147" s="105">
        <f>43+15+11+53+3+5+2+6+20+4+6+27+9+1+2+3+5+1+1+1+1+2</f>
        <v>221</v>
      </c>
      <c r="D147" s="105">
        <v>214</v>
      </c>
      <c r="E147" s="105">
        <v>220</v>
      </c>
      <c r="F147" s="24">
        <v>44295</v>
      </c>
      <c r="G147" s="116">
        <f t="shared" si="18"/>
        <v>1.02803738317757</v>
      </c>
      <c r="H147" s="34">
        <f t="shared" si="19"/>
        <v>6</v>
      </c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</row>
    <row r="148" spans="1:8" ht="15.75">
      <c r="A148" s="18">
        <v>64</v>
      </c>
      <c r="B148" s="22" t="s">
        <v>110</v>
      </c>
      <c r="C148" s="110">
        <f>16+8+1+2+1+1+1+1</f>
        <v>31</v>
      </c>
      <c r="D148" s="110">
        <v>32</v>
      </c>
      <c r="E148" s="110">
        <v>33</v>
      </c>
      <c r="F148" s="24">
        <v>44196</v>
      </c>
      <c r="G148" s="116">
        <f t="shared" si="18"/>
        <v>1.03125</v>
      </c>
      <c r="H148" s="34">
        <f t="shared" si="19"/>
        <v>1</v>
      </c>
    </row>
    <row r="149" spans="1:8" ht="15.75">
      <c r="A149" s="18">
        <v>82</v>
      </c>
      <c r="B149" s="22" t="s">
        <v>31</v>
      </c>
      <c r="C149" s="105">
        <f>14+24+19+8+1</f>
        <v>66</v>
      </c>
      <c r="D149" s="105">
        <v>65</v>
      </c>
      <c r="E149" s="105">
        <v>53</v>
      </c>
      <c r="F149" s="24">
        <v>43959</v>
      </c>
      <c r="G149" s="116">
        <f t="shared" si="18"/>
        <v>0.8153846153846154</v>
      </c>
      <c r="H149" s="34">
        <f t="shared" si="19"/>
        <v>-12</v>
      </c>
    </row>
    <row r="150" spans="1:8" ht="15.75">
      <c r="A150" s="18">
        <v>88</v>
      </c>
      <c r="B150" s="22" t="s">
        <v>111</v>
      </c>
      <c r="C150" s="105">
        <f>15</f>
        <v>15</v>
      </c>
      <c r="D150" s="105">
        <f>6+6</f>
        <v>12</v>
      </c>
      <c r="E150" s="105">
        <f>12</f>
        <v>12</v>
      </c>
      <c r="F150" s="45">
        <v>43727</v>
      </c>
      <c r="G150" s="116">
        <f t="shared" si="18"/>
        <v>1</v>
      </c>
      <c r="H150" s="34">
        <f t="shared" si="19"/>
        <v>0</v>
      </c>
    </row>
    <row r="151" spans="1:8" ht="15.75">
      <c r="A151" s="18">
        <v>112</v>
      </c>
      <c r="B151" s="22" t="s">
        <v>112</v>
      </c>
      <c r="C151" s="105">
        <f>15+13+7+2</f>
        <v>37</v>
      </c>
      <c r="D151" s="105">
        <f>22+13+2+1</f>
        <v>38</v>
      </c>
      <c r="E151" s="105">
        <v>31</v>
      </c>
      <c r="F151" s="24">
        <v>44274</v>
      </c>
      <c r="G151" s="116">
        <f t="shared" si="18"/>
        <v>0.8157894736842105</v>
      </c>
      <c r="H151" s="34">
        <f t="shared" si="19"/>
        <v>-7</v>
      </c>
    </row>
    <row r="152" spans="1:8" ht="15.75">
      <c r="A152" s="18">
        <v>144</v>
      </c>
      <c r="B152" s="67" t="s">
        <v>149</v>
      </c>
      <c r="C152" s="105"/>
      <c r="D152" s="105">
        <f>8</f>
        <v>8</v>
      </c>
      <c r="E152" s="105">
        <v>9</v>
      </c>
      <c r="F152" s="24">
        <v>44196</v>
      </c>
      <c r="G152" s="116">
        <f t="shared" si="18"/>
        <v>1.125</v>
      </c>
      <c r="H152" s="34">
        <f t="shared" si="19"/>
        <v>1</v>
      </c>
    </row>
    <row r="153" spans="1:8" ht="15.75">
      <c r="A153" s="18">
        <v>149</v>
      </c>
      <c r="B153" s="22" t="s">
        <v>32</v>
      </c>
      <c r="C153" s="105">
        <f>22+10+5+4</f>
        <v>41</v>
      </c>
      <c r="D153" s="105">
        <f>16+16+7+6</f>
        <v>45</v>
      </c>
      <c r="E153" s="105">
        <v>42</v>
      </c>
      <c r="F153" s="24">
        <v>43902</v>
      </c>
      <c r="G153" s="116">
        <f t="shared" si="18"/>
        <v>0.9333333333333333</v>
      </c>
      <c r="H153" s="34">
        <f t="shared" si="19"/>
        <v>-3</v>
      </c>
    </row>
    <row r="154" spans="1:8" ht="15.75">
      <c r="A154" s="18">
        <v>188</v>
      </c>
      <c r="B154" s="22" t="s">
        <v>113</v>
      </c>
      <c r="C154" s="105">
        <f>18+24+23+24+24+24+9+2</f>
        <v>148</v>
      </c>
      <c r="D154" s="105">
        <f>23+72+24+16+23+6+7</f>
        <v>171</v>
      </c>
      <c r="E154" s="105">
        <v>151</v>
      </c>
      <c r="F154" s="24">
        <v>43902</v>
      </c>
      <c r="G154" s="116">
        <f t="shared" si="18"/>
        <v>0.8830409356725146</v>
      </c>
      <c r="H154" s="34">
        <f t="shared" si="19"/>
        <v>-20</v>
      </c>
    </row>
    <row r="155" spans="1:8" ht="15.75">
      <c r="A155" s="18">
        <v>192</v>
      </c>
      <c r="B155" s="22" t="s">
        <v>114</v>
      </c>
      <c r="C155" s="105">
        <f>3+1+2</f>
        <v>6</v>
      </c>
      <c r="D155" s="105">
        <f>1</f>
        <v>1</v>
      </c>
      <c r="E155" s="105">
        <v>2</v>
      </c>
      <c r="F155" s="24">
        <v>43712</v>
      </c>
      <c r="G155" s="116">
        <f t="shared" si="18"/>
        <v>2</v>
      </c>
      <c r="H155" s="34">
        <f t="shared" si="19"/>
        <v>1</v>
      </c>
    </row>
    <row r="156" spans="1:8" ht="15.75">
      <c r="A156" s="18">
        <v>220</v>
      </c>
      <c r="B156" s="22" t="s">
        <v>115</v>
      </c>
      <c r="C156" s="105">
        <f>7</f>
        <v>7</v>
      </c>
      <c r="D156" s="105">
        <f>7</f>
        <v>7</v>
      </c>
      <c r="E156" s="105">
        <v>7</v>
      </c>
      <c r="F156" s="24">
        <v>43712</v>
      </c>
      <c r="G156" s="116">
        <f t="shared" si="18"/>
        <v>1</v>
      </c>
      <c r="H156" s="34">
        <f t="shared" si="19"/>
        <v>0</v>
      </c>
    </row>
    <row r="157" spans="1:8" ht="15.75">
      <c r="A157" s="18">
        <v>226</v>
      </c>
      <c r="B157" s="22" t="s">
        <v>116</v>
      </c>
      <c r="C157" s="105">
        <f>3+3+2+5+3+2+1+1+1+2+1</f>
        <v>24</v>
      </c>
      <c r="D157" s="105">
        <f>15+1+8</f>
        <v>24</v>
      </c>
      <c r="E157" s="105">
        <v>19</v>
      </c>
      <c r="F157" s="24">
        <v>43860</v>
      </c>
      <c r="G157" s="116">
        <f t="shared" si="18"/>
        <v>0.7916666666666666</v>
      </c>
      <c r="H157" s="34">
        <f t="shared" si="19"/>
        <v>-5</v>
      </c>
    </row>
    <row r="158" spans="1:8" ht="15.75">
      <c r="A158" s="18">
        <v>257</v>
      </c>
      <c r="B158" s="22" t="s">
        <v>117</v>
      </c>
      <c r="C158" s="98">
        <f>3+3+6+1</f>
        <v>13</v>
      </c>
      <c r="D158" s="98">
        <f>4+2+6</f>
        <v>12</v>
      </c>
      <c r="E158" s="98">
        <v>12</v>
      </c>
      <c r="F158" s="24">
        <v>43853</v>
      </c>
      <c r="G158" s="116">
        <f t="shared" si="18"/>
        <v>1</v>
      </c>
      <c r="H158" s="34">
        <f t="shared" si="19"/>
        <v>0</v>
      </c>
    </row>
    <row r="159" spans="1:254" ht="15" customHeight="1" thickBot="1">
      <c r="A159" s="18">
        <v>387</v>
      </c>
      <c r="B159" s="22" t="s">
        <v>118</v>
      </c>
      <c r="C159" s="52">
        <f>14+5+3+1</f>
        <v>23</v>
      </c>
      <c r="D159" s="52">
        <f>0</f>
        <v>0</v>
      </c>
      <c r="E159" s="52">
        <f>0</f>
        <v>0</v>
      </c>
      <c r="F159" s="53"/>
      <c r="G159" s="144" t="e">
        <f t="shared" si="18"/>
        <v>#DIV/0!</v>
      </c>
      <c r="H159" s="42">
        <f t="shared" si="19"/>
        <v>0</v>
      </c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</row>
    <row r="160" spans="1:8" s="56" customFormat="1" ht="15.75">
      <c r="A160" s="18" t="s">
        <v>0</v>
      </c>
      <c r="B160" s="22" t="s">
        <v>7</v>
      </c>
      <c r="C160" s="46">
        <f>SUM(C146:C159)</f>
        <v>682</v>
      </c>
      <c r="D160" s="46">
        <f>SUM(D146:D159)</f>
        <v>683</v>
      </c>
      <c r="E160" s="46">
        <f>SUM(E146:E159)</f>
        <v>637</v>
      </c>
      <c r="F160" s="49"/>
      <c r="G160" s="145">
        <f t="shared" si="18"/>
        <v>0.9326500732064422</v>
      </c>
      <c r="H160" s="63">
        <f>E160-D160</f>
        <v>-46</v>
      </c>
    </row>
    <row r="161" spans="1:8" ht="15.75">
      <c r="A161" s="18"/>
      <c r="B161" s="22"/>
      <c r="C161" s="19"/>
      <c r="D161" s="19"/>
      <c r="E161" s="19"/>
      <c r="F161" s="20" t="s">
        <v>0</v>
      </c>
      <c r="G161" s="148"/>
      <c r="H161" s="13" t="s">
        <v>0</v>
      </c>
    </row>
    <row r="162" spans="1:8" ht="15.75">
      <c r="A162" s="18"/>
      <c r="B162" s="66" t="s">
        <v>154</v>
      </c>
      <c r="C162" s="15"/>
      <c r="D162" s="15"/>
      <c r="E162" s="15"/>
      <c r="F162" s="16"/>
      <c r="G162" s="146"/>
      <c r="H162" s="13"/>
    </row>
    <row r="163" spans="1:8" ht="16.5" thickBot="1">
      <c r="A163" s="18"/>
      <c r="B163" s="19" t="s">
        <v>33</v>
      </c>
      <c r="C163" s="19">
        <v>2018</v>
      </c>
      <c r="D163" s="121">
        <v>2019</v>
      </c>
      <c r="E163" s="121">
        <v>2020</v>
      </c>
      <c r="F163" s="20" t="s">
        <v>1</v>
      </c>
      <c r="G163" s="150">
        <v>1</v>
      </c>
      <c r="H163" s="13"/>
    </row>
    <row r="164" spans="1:8" ht="15.75">
      <c r="A164" s="18"/>
      <c r="B164" s="19">
        <v>1</v>
      </c>
      <c r="C164" s="50">
        <f>SUM(C12)</f>
        <v>191</v>
      </c>
      <c r="D164" s="50">
        <f>SUM(D12)</f>
        <v>191</v>
      </c>
      <c r="E164" s="50">
        <f>SUM(E12)</f>
        <v>181</v>
      </c>
      <c r="F164" s="154">
        <f>E164/D164</f>
        <v>0.9476439790575916</v>
      </c>
      <c r="G164" s="151">
        <f>E164-D164</f>
        <v>-10</v>
      </c>
      <c r="H164" s="30"/>
    </row>
    <row r="165" spans="1:8" ht="15.75">
      <c r="A165" s="18"/>
      <c r="B165" s="19">
        <v>2</v>
      </c>
      <c r="C165" s="23">
        <f>SUM(C24)</f>
        <v>270</v>
      </c>
      <c r="D165" s="23">
        <f>SUM(D24)</f>
        <v>292</v>
      </c>
      <c r="E165" s="23">
        <f>SUM(E24)</f>
        <v>275</v>
      </c>
      <c r="F165" s="106">
        <f aca="true" t="shared" si="20" ref="F165:F175">E165/D165</f>
        <v>0.9417808219178082</v>
      </c>
      <c r="G165" s="151">
        <f aca="true" t="shared" si="21" ref="G165:G175">E165-D165</f>
        <v>-17</v>
      </c>
      <c r="H165" s="30"/>
    </row>
    <row r="166" spans="1:8" ht="15.75">
      <c r="A166" s="18"/>
      <c r="B166" s="19">
        <v>3</v>
      </c>
      <c r="C166" s="23">
        <f>SUM(C37)</f>
        <v>447</v>
      </c>
      <c r="D166" s="23">
        <f>SUM(D37)</f>
        <v>443</v>
      </c>
      <c r="E166" s="23">
        <f>SUM(E37)</f>
        <v>372</v>
      </c>
      <c r="F166" s="106">
        <f t="shared" si="20"/>
        <v>0.8397291196388262</v>
      </c>
      <c r="G166" s="151">
        <f t="shared" si="21"/>
        <v>-71</v>
      </c>
      <c r="H166" s="30"/>
    </row>
    <row r="167" spans="1:8" ht="15.75">
      <c r="A167" s="18"/>
      <c r="B167" s="19">
        <v>4</v>
      </c>
      <c r="C167" s="23">
        <f>SUM(C62)</f>
        <v>1094</v>
      </c>
      <c r="D167" s="23">
        <f>SUM(D62)</f>
        <v>990</v>
      </c>
      <c r="E167" s="23">
        <f>SUM(E62)</f>
        <v>998</v>
      </c>
      <c r="F167" s="106">
        <f t="shared" si="20"/>
        <v>1.0080808080808081</v>
      </c>
      <c r="G167" s="151">
        <f t="shared" si="21"/>
        <v>8</v>
      </c>
      <c r="H167" s="30"/>
    </row>
    <row r="168" spans="1:8" ht="15.75">
      <c r="A168" s="18"/>
      <c r="B168" s="19">
        <v>5</v>
      </c>
      <c r="C168" s="23">
        <f>SUM(C92)</f>
        <v>1282</v>
      </c>
      <c r="D168" s="23">
        <f>SUM(D92)</f>
        <v>1328</v>
      </c>
      <c r="E168" s="23">
        <f>SUM(E92)</f>
        <v>1269</v>
      </c>
      <c r="F168" s="106">
        <f t="shared" si="20"/>
        <v>0.9555722891566265</v>
      </c>
      <c r="G168" s="151">
        <f t="shared" si="21"/>
        <v>-59</v>
      </c>
      <c r="H168" s="30"/>
    </row>
    <row r="169" spans="1:8" ht="15.75">
      <c r="A169" s="18"/>
      <c r="B169" s="19">
        <v>6</v>
      </c>
      <c r="C169" s="23">
        <f>SUM(C108)</f>
        <v>792</v>
      </c>
      <c r="D169" s="23">
        <f>SUM(D108)</f>
        <v>869</v>
      </c>
      <c r="E169" s="23">
        <f>SUM(E108)</f>
        <v>796</v>
      </c>
      <c r="F169" s="106">
        <f t="shared" si="20"/>
        <v>0.9159953970080552</v>
      </c>
      <c r="G169" s="151">
        <f t="shared" si="21"/>
        <v>-73</v>
      </c>
      <c r="H169" s="30"/>
    </row>
    <row r="170" spans="1:8" ht="15.75">
      <c r="A170" s="18"/>
      <c r="B170" s="19">
        <v>7</v>
      </c>
      <c r="C170" s="23">
        <f>SUM(C117)</f>
        <v>111</v>
      </c>
      <c r="D170" s="23">
        <f>SUM(D117)</f>
        <v>121</v>
      </c>
      <c r="E170" s="23">
        <f>SUM(E117)</f>
        <v>131</v>
      </c>
      <c r="F170" s="118">
        <f t="shared" si="20"/>
        <v>1.0826446280991735</v>
      </c>
      <c r="G170" s="151">
        <f t="shared" si="21"/>
        <v>10</v>
      </c>
      <c r="H170" s="30"/>
    </row>
    <row r="171" spans="1:8" ht="15.75">
      <c r="A171" s="18"/>
      <c r="B171" s="19">
        <v>8</v>
      </c>
      <c r="C171" s="23">
        <f>SUM(C128)</f>
        <v>443</v>
      </c>
      <c r="D171" s="23">
        <f>SUM(D128)</f>
        <v>443</v>
      </c>
      <c r="E171" s="23">
        <f>SUM(E128)</f>
        <v>446</v>
      </c>
      <c r="F171" s="106">
        <f t="shared" si="20"/>
        <v>1.0067720090293453</v>
      </c>
      <c r="G171" s="151">
        <f t="shared" si="21"/>
        <v>3</v>
      </c>
      <c r="H171" s="30"/>
    </row>
    <row r="172" spans="1:8" ht="15.75">
      <c r="A172" s="18"/>
      <c r="B172" s="19">
        <v>9</v>
      </c>
      <c r="C172" s="71">
        <f>SUM(C143)</f>
        <v>224</v>
      </c>
      <c r="D172" s="71">
        <f>SUM(D143)</f>
        <v>250</v>
      </c>
      <c r="E172" s="71">
        <f>SUM(E143)</f>
        <v>248</v>
      </c>
      <c r="F172" s="106">
        <f t="shared" si="20"/>
        <v>0.992</v>
      </c>
      <c r="G172" s="151">
        <f t="shared" si="21"/>
        <v>-2</v>
      </c>
      <c r="H172" s="30"/>
    </row>
    <row r="173" spans="1:8" ht="15.75">
      <c r="A173" s="18"/>
      <c r="B173" s="19">
        <v>10</v>
      </c>
      <c r="C173" s="164">
        <f>SUM(C160)</f>
        <v>682</v>
      </c>
      <c r="D173" s="164">
        <f>SUM(D160)</f>
        <v>683</v>
      </c>
      <c r="E173" s="164">
        <f>SUM(E160)</f>
        <v>637</v>
      </c>
      <c r="F173" s="165">
        <f t="shared" si="20"/>
        <v>0.9326500732064422</v>
      </c>
      <c r="G173" s="166">
        <f t="shared" si="21"/>
        <v>-46</v>
      </c>
      <c r="H173" s="30"/>
    </row>
    <row r="174" spans="1:8" ht="16.5" thickBot="1">
      <c r="A174" s="18"/>
      <c r="B174" s="5" t="s">
        <v>161</v>
      </c>
      <c r="C174" s="167">
        <v>11</v>
      </c>
      <c r="D174" s="167">
        <v>14</v>
      </c>
      <c r="E174" s="167">
        <v>9</v>
      </c>
      <c r="F174" s="168">
        <f>E174/D174</f>
        <v>0.6428571428571429</v>
      </c>
      <c r="G174" s="169">
        <f>E174-D174</f>
        <v>-5</v>
      </c>
      <c r="H174" s="30"/>
    </row>
    <row r="175" spans="1:8" s="56" customFormat="1" ht="15.75">
      <c r="A175" s="18"/>
      <c r="B175" s="22" t="s">
        <v>20</v>
      </c>
      <c r="C175" s="46">
        <f>SUM(C164:C174)</f>
        <v>5547</v>
      </c>
      <c r="D175" s="46">
        <f>SUM(D164:D174)</f>
        <v>5624</v>
      </c>
      <c r="E175" s="46">
        <f>SUM(E164:E174)</f>
        <v>5362</v>
      </c>
      <c r="F175" s="129">
        <f t="shared" si="20"/>
        <v>0.9534139402560455</v>
      </c>
      <c r="G175" s="152">
        <f t="shared" si="21"/>
        <v>-262</v>
      </c>
      <c r="H175" s="18"/>
    </row>
    <row r="176" spans="1:8" s="56" customFormat="1" ht="15.75">
      <c r="A176" s="18"/>
      <c r="B176" s="22"/>
      <c r="C176" s="46"/>
      <c r="D176" s="46"/>
      <c r="E176" s="46"/>
      <c r="F176" s="128"/>
      <c r="G176" s="152"/>
      <c r="H176" s="18"/>
    </row>
    <row r="177" spans="1:8" s="56" customFormat="1" ht="15.75">
      <c r="A177" s="18"/>
      <c r="B177" s="67" t="str">
        <f>B4</f>
        <v>                                               Next Target Date: 7/29/2020    105%</v>
      </c>
      <c r="C177" s="46"/>
      <c r="D177" s="46"/>
      <c r="E177" s="46"/>
      <c r="F177" s="62"/>
      <c r="G177" s="153"/>
      <c r="H177" s="18"/>
    </row>
    <row r="178" spans="1:8" s="56" customFormat="1" ht="15.75">
      <c r="A178" s="18"/>
      <c r="B178" s="67"/>
      <c r="C178" s="46"/>
      <c r="D178" s="46"/>
      <c r="E178" s="46"/>
      <c r="F178" s="62"/>
      <c r="G178" s="153"/>
      <c r="H178" s="18"/>
    </row>
    <row r="179" spans="1:8" ht="15.75">
      <c r="A179" s="18"/>
      <c r="B179" s="73" t="s">
        <v>129</v>
      </c>
      <c r="C179" s="54"/>
      <c r="D179" s="54"/>
      <c r="E179" s="54"/>
      <c r="F179" s="54"/>
      <c r="G179" s="54"/>
      <c r="H179" s="73"/>
    </row>
    <row r="180" spans="1:8" ht="18">
      <c r="A180" s="65"/>
      <c r="B180" s="323" t="s">
        <v>155</v>
      </c>
      <c r="C180" s="323"/>
      <c r="D180" s="323"/>
      <c r="E180" s="323"/>
      <c r="F180" s="323"/>
      <c r="G180" s="1" t="s">
        <v>0</v>
      </c>
      <c r="H180" s="1" t="s">
        <v>0</v>
      </c>
    </row>
    <row r="181" spans="1:8" ht="18">
      <c r="A181" s="65"/>
      <c r="B181" s="73" t="s">
        <v>156</v>
      </c>
      <c r="C181" s="74"/>
      <c r="D181" s="74"/>
      <c r="E181" s="74"/>
      <c r="F181" s="76"/>
      <c r="G181" s="75"/>
      <c r="H181" s="77"/>
    </row>
    <row r="182" spans="1:8" ht="15.75">
      <c r="A182" s="18"/>
      <c r="B182" s="1" t="s">
        <v>0</v>
      </c>
      <c r="C182" s="74"/>
      <c r="D182" s="74"/>
      <c r="E182" s="74"/>
      <c r="F182" s="78"/>
      <c r="G182" s="75"/>
      <c r="H182" s="75"/>
    </row>
    <row r="183" spans="1:8" ht="15.75">
      <c r="A183" s="18"/>
      <c r="B183" s="19"/>
      <c r="C183" s="2"/>
      <c r="D183" s="2"/>
      <c r="E183" s="2"/>
      <c r="F183" s="8"/>
      <c r="G183" s="146"/>
      <c r="H183" s="7"/>
    </row>
    <row r="184" spans="1:8" ht="15.75">
      <c r="A184" s="18"/>
      <c r="B184" s="19"/>
      <c r="C184" s="2"/>
      <c r="D184" s="2"/>
      <c r="E184" s="2"/>
      <c r="F184" s="8"/>
      <c r="G184" s="146"/>
      <c r="H184" s="7"/>
    </row>
    <row r="185" spans="1:8" ht="15.75">
      <c r="A185" s="18"/>
      <c r="B185" s="22"/>
      <c r="C185" s="5"/>
      <c r="D185" s="5"/>
      <c r="E185" s="5"/>
      <c r="F185" s="8"/>
      <c r="G185" s="146"/>
      <c r="H185" s="9"/>
    </row>
    <row r="186" spans="1:8" ht="15.75">
      <c r="A186" s="18"/>
      <c r="B186" s="22"/>
      <c r="C186" s="2"/>
      <c r="D186" s="2"/>
      <c r="E186" s="2"/>
      <c r="F186" s="11"/>
      <c r="G186" s="148"/>
      <c r="H186" s="10"/>
    </row>
    <row r="187" spans="1:8" ht="15.75">
      <c r="A187" s="18"/>
      <c r="B187" s="22"/>
      <c r="C187" s="2"/>
      <c r="D187" s="2"/>
      <c r="E187" s="2"/>
      <c r="F187" s="11"/>
      <c r="G187" s="148"/>
      <c r="H187" s="10"/>
    </row>
    <row r="188" spans="1:8" ht="15.75">
      <c r="A188" s="18"/>
      <c r="B188" s="22"/>
      <c r="C188" s="2"/>
      <c r="D188" s="2"/>
      <c r="E188" s="2"/>
      <c r="F188" s="11"/>
      <c r="G188" s="148"/>
      <c r="H188" s="10"/>
    </row>
    <row r="189" spans="1:8" ht="15.75">
      <c r="A189" s="18"/>
      <c r="B189" s="22"/>
      <c r="C189" s="2"/>
      <c r="D189" s="2"/>
      <c r="E189" s="2"/>
      <c r="F189" s="11"/>
      <c r="G189" s="148"/>
      <c r="H189" s="10"/>
    </row>
    <row r="190" spans="1:8" ht="15.75">
      <c r="A190" s="18"/>
      <c r="B190" s="22"/>
      <c r="C190" s="2"/>
      <c r="D190" s="2"/>
      <c r="E190" s="2"/>
      <c r="F190" s="11"/>
      <c r="G190" s="148"/>
      <c r="H190" s="10"/>
    </row>
    <row r="191" spans="1:8" ht="15.75">
      <c r="A191" s="18"/>
      <c r="B191" s="22"/>
      <c r="C191" s="2"/>
      <c r="D191" s="2"/>
      <c r="E191" s="2"/>
      <c r="F191" s="11"/>
      <c r="G191" s="148"/>
      <c r="H191" s="10"/>
    </row>
    <row r="192" spans="1:8" ht="15.75">
      <c r="A192" s="18"/>
      <c r="B192" s="22"/>
      <c r="C192" s="2"/>
      <c r="D192" s="2"/>
      <c r="E192" s="2"/>
      <c r="F192" s="11"/>
      <c r="G192" s="148"/>
      <c r="H192" s="10"/>
    </row>
    <row r="193" spans="1:8" ht="15.75">
      <c r="A193" s="18"/>
      <c r="B193" s="22"/>
      <c r="C193" s="2"/>
      <c r="D193" s="2"/>
      <c r="E193" s="2"/>
      <c r="F193" s="11"/>
      <c r="G193" s="148"/>
      <c r="H193" s="10"/>
    </row>
    <row r="194" spans="1:8" ht="15.75">
      <c r="A194" s="18"/>
      <c r="B194" s="22"/>
      <c r="C194" s="2"/>
      <c r="D194" s="2"/>
      <c r="E194" s="2"/>
      <c r="F194" s="11"/>
      <c r="G194" s="148"/>
      <c r="H194" s="10"/>
    </row>
    <row r="195" spans="1:8" ht="15.75">
      <c r="A195" s="18"/>
      <c r="B195" s="22"/>
      <c r="C195" s="2"/>
      <c r="D195" s="2"/>
      <c r="E195" s="2"/>
      <c r="F195" s="11"/>
      <c r="G195" s="148"/>
      <c r="H195" s="10"/>
    </row>
    <row r="196" spans="1:8" ht="15.75">
      <c r="A196" s="18"/>
      <c r="B196" s="22"/>
      <c r="C196" s="2"/>
      <c r="D196" s="2"/>
      <c r="E196" s="2"/>
      <c r="F196" s="11"/>
      <c r="G196" s="148"/>
      <c r="H196" s="10"/>
    </row>
    <row r="197" spans="1:8" ht="15.75">
      <c r="A197" s="18"/>
      <c r="B197" s="22"/>
      <c r="C197" s="2"/>
      <c r="D197" s="2"/>
      <c r="E197" s="2"/>
      <c r="F197" s="11"/>
      <c r="G197" s="12"/>
      <c r="H197" s="10"/>
    </row>
    <row r="198" spans="1:8" ht="15.75">
      <c r="A198" s="18"/>
      <c r="B198" s="22"/>
      <c r="C198" s="2"/>
      <c r="D198" s="2"/>
      <c r="E198" s="2"/>
      <c r="F198" s="11"/>
      <c r="G198" s="12"/>
      <c r="H198" s="10"/>
    </row>
    <row r="199" spans="1:8" ht="15.75">
      <c r="A199" s="18"/>
      <c r="B199" s="22"/>
      <c r="C199" s="2"/>
      <c r="D199" s="2"/>
      <c r="E199" s="2"/>
      <c r="F199" s="11"/>
      <c r="G199" s="12"/>
      <c r="H199" s="10"/>
    </row>
    <row r="200" spans="1:8" ht="15.75">
      <c r="A200" s="18"/>
      <c r="B200" s="22"/>
      <c r="C200" s="2"/>
      <c r="D200" s="2"/>
      <c r="E200" s="2"/>
      <c r="F200" s="11"/>
      <c r="G200" s="12"/>
      <c r="H200" s="10"/>
    </row>
    <row r="201" spans="1:8" ht="15.75">
      <c r="A201" s="18"/>
      <c r="B201" s="22"/>
      <c r="C201" s="3"/>
      <c r="D201" s="3"/>
      <c r="E201" s="3"/>
      <c r="F201" s="11"/>
      <c r="G201" s="12"/>
      <c r="H201" s="10"/>
    </row>
    <row r="202" spans="1:8" ht="15.75">
      <c r="A202" s="18"/>
      <c r="B202" s="22"/>
      <c r="C202" s="2"/>
      <c r="D202" s="2"/>
      <c r="E202" s="2"/>
      <c r="F202" s="11"/>
      <c r="G202" s="12"/>
      <c r="H202" s="10"/>
    </row>
    <row r="203" spans="1:8" ht="15.75">
      <c r="A203" s="18"/>
      <c r="C203" s="2"/>
      <c r="D203" s="2"/>
      <c r="E203" s="2"/>
      <c r="F203" s="6"/>
      <c r="G203" s="4"/>
      <c r="H203" s="4"/>
    </row>
    <row r="204" spans="1:8" ht="15.75">
      <c r="A204" s="18"/>
      <c r="C204" s="2"/>
      <c r="D204" s="2"/>
      <c r="E204" s="2"/>
      <c r="F204" s="6"/>
      <c r="G204" s="4"/>
      <c r="H204" s="4"/>
    </row>
    <row r="205" spans="1:8" ht="15.75">
      <c r="A205" s="18"/>
      <c r="C205" s="2"/>
      <c r="D205" s="2"/>
      <c r="E205" s="2"/>
      <c r="F205" s="6"/>
      <c r="G205" s="4"/>
      <c r="H205" s="4"/>
    </row>
    <row r="206" spans="1:8" ht="15.75">
      <c r="A206" s="18"/>
      <c r="C206" s="2"/>
      <c r="D206" s="2"/>
      <c r="E206" s="2"/>
      <c r="F206" s="6"/>
      <c r="G206" s="4"/>
      <c r="H206" s="4"/>
    </row>
    <row r="207" spans="1:8" ht="15.75">
      <c r="A207" s="18"/>
      <c r="C207" s="2"/>
      <c r="D207" s="2"/>
      <c r="E207" s="2"/>
      <c r="F207" s="6"/>
      <c r="G207" s="4"/>
      <c r="H207" s="4"/>
    </row>
    <row r="208" spans="1:8" ht="15.75">
      <c r="A208" s="18"/>
      <c r="C208" s="2"/>
      <c r="D208" s="2"/>
      <c r="E208" s="2"/>
      <c r="F208" s="6"/>
      <c r="G208" s="4"/>
      <c r="H208" s="4"/>
    </row>
    <row r="209" spans="1:8" ht="15.75">
      <c r="A209" s="18"/>
      <c r="C209" s="2"/>
      <c r="D209" s="2"/>
      <c r="E209" s="2"/>
      <c r="F209" s="6"/>
      <c r="G209" s="4"/>
      <c r="H209" s="4"/>
    </row>
    <row r="210" spans="1:8" ht="15.75">
      <c r="A210" s="18"/>
      <c r="C210" s="2"/>
      <c r="D210" s="2"/>
      <c r="E210" s="2"/>
      <c r="F210" s="6"/>
      <c r="G210" s="4"/>
      <c r="H210" s="4"/>
    </row>
    <row r="211" spans="1:8" ht="15.75">
      <c r="A211" s="18"/>
      <c r="C211" s="2"/>
      <c r="D211" s="2"/>
      <c r="E211" s="2"/>
      <c r="F211" s="6"/>
      <c r="G211" s="4"/>
      <c r="H211" s="4"/>
    </row>
    <row r="212" spans="1:8" ht="15.75">
      <c r="A212" s="18"/>
      <c r="C212" s="2"/>
      <c r="D212" s="2"/>
      <c r="E212" s="2"/>
      <c r="F212" s="6"/>
      <c r="G212" s="4"/>
      <c r="H212" s="4"/>
    </row>
    <row r="213" spans="1:8" ht="15.75">
      <c r="A213" s="18"/>
      <c r="C213" s="2"/>
      <c r="D213" s="2"/>
      <c r="E213" s="2"/>
      <c r="F213" s="6"/>
      <c r="G213" s="4"/>
      <c r="H213" s="4"/>
    </row>
    <row r="214" spans="1:8" ht="15.75">
      <c r="A214" s="18"/>
      <c r="C214" s="2"/>
      <c r="D214" s="2"/>
      <c r="E214" s="2"/>
      <c r="F214" s="6"/>
      <c r="G214" s="4"/>
      <c r="H214" s="4"/>
    </row>
    <row r="215" spans="1:8" ht="15.75">
      <c r="A215" s="18"/>
      <c r="C215" s="2"/>
      <c r="D215" s="2"/>
      <c r="E215" s="2"/>
      <c r="F215" s="6"/>
      <c r="G215" s="4"/>
      <c r="H215" s="4"/>
    </row>
    <row r="216" spans="1:8" ht="15.75">
      <c r="A216" s="18"/>
      <c r="C216" s="2"/>
      <c r="D216" s="2"/>
      <c r="E216" s="2"/>
      <c r="F216" s="6"/>
      <c r="G216" s="4"/>
      <c r="H216" s="4"/>
    </row>
    <row r="217" spans="1:8" ht="15.75">
      <c r="A217" s="18"/>
      <c r="C217" s="2"/>
      <c r="D217" s="2"/>
      <c r="E217" s="2"/>
      <c r="F217" s="6"/>
      <c r="G217" s="4"/>
      <c r="H217" s="4"/>
    </row>
    <row r="218" spans="1:8" ht="15.75">
      <c r="A218" s="18"/>
      <c r="C218" s="2"/>
      <c r="D218" s="2"/>
      <c r="E218" s="2"/>
      <c r="F218" s="6"/>
      <c r="G218" s="4"/>
      <c r="H218" s="4"/>
    </row>
    <row r="219" spans="1:8" ht="15.75">
      <c r="A219" s="18"/>
      <c r="C219" s="2"/>
      <c r="D219" s="2"/>
      <c r="E219" s="2"/>
      <c r="F219" s="6"/>
      <c r="G219" s="4"/>
      <c r="H219" s="4"/>
    </row>
    <row r="220" spans="1:8" ht="15.75">
      <c r="A220" s="18"/>
      <c r="C220" s="2"/>
      <c r="D220" s="2"/>
      <c r="E220" s="2"/>
      <c r="F220" s="6"/>
      <c r="G220" s="4"/>
      <c r="H220" s="4"/>
    </row>
    <row r="221" spans="1:8" ht="15.75">
      <c r="A221" s="18"/>
      <c r="C221" s="2"/>
      <c r="D221" s="2"/>
      <c r="E221" s="2"/>
      <c r="F221" s="6"/>
      <c r="G221" s="4"/>
      <c r="H221" s="4"/>
    </row>
    <row r="222" spans="1:8" ht="15.75">
      <c r="A222" s="18"/>
      <c r="C222" s="2"/>
      <c r="D222" s="2"/>
      <c r="E222" s="2"/>
      <c r="F222" s="6"/>
      <c r="G222" s="4"/>
      <c r="H222" s="4"/>
    </row>
    <row r="223" spans="1:8" ht="15.75">
      <c r="A223" s="18"/>
      <c r="C223" s="2"/>
      <c r="D223" s="2"/>
      <c r="E223" s="2"/>
      <c r="F223" s="6"/>
      <c r="G223" s="4"/>
      <c r="H223" s="4"/>
    </row>
    <row r="224" spans="1:8" ht="15.75">
      <c r="A224" s="18"/>
      <c r="C224" s="2"/>
      <c r="D224" s="2"/>
      <c r="E224" s="2"/>
      <c r="F224" s="6"/>
      <c r="G224" s="4"/>
      <c r="H224" s="4"/>
    </row>
    <row r="225" spans="1:8" ht="15.75">
      <c r="A225" s="18"/>
      <c r="C225" s="2"/>
      <c r="D225" s="2"/>
      <c r="E225" s="2"/>
      <c r="F225" s="6"/>
      <c r="G225" s="4"/>
      <c r="H225" s="4"/>
    </row>
    <row r="226" spans="1:8" ht="15.75">
      <c r="A226" s="18"/>
      <c r="C226" s="2"/>
      <c r="D226" s="2"/>
      <c r="E226" s="2"/>
      <c r="F226" s="6"/>
      <c r="G226" s="4"/>
      <c r="H226" s="4"/>
    </row>
    <row r="227" spans="1:8" ht="15.75">
      <c r="A227" s="18"/>
      <c r="C227" s="2"/>
      <c r="D227" s="2"/>
      <c r="E227" s="2"/>
      <c r="F227" s="6"/>
      <c r="G227" s="4"/>
      <c r="H227" s="4"/>
    </row>
    <row r="228" spans="1:8" ht="15.75">
      <c r="A228" s="18"/>
      <c r="C228" s="2"/>
      <c r="D228" s="2"/>
      <c r="E228" s="2"/>
      <c r="F228" s="6"/>
      <c r="G228" s="4"/>
      <c r="H228" s="4"/>
    </row>
  </sheetData>
  <sheetProtection/>
  <mergeCells count="1">
    <mergeCell ref="B180:F180"/>
  </mergeCells>
  <printOptions horizontalCentered="1"/>
  <pageMargins left="0.7" right="0.7" top="0.56" bottom="0.55" header="0.3" footer="0.3"/>
  <pageSetup horizontalDpi="600" verticalDpi="600" orientation="portrait" scale="67" r:id="rId1"/>
  <rowBreaks count="3" manualBreakCount="3">
    <brk id="62" max="7" man="1"/>
    <brk id="117" max="7" man="1"/>
    <brk id="8204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T229"/>
  <sheetViews>
    <sheetView showOutlineSymbols="0" zoomScale="120" zoomScaleNormal="120" zoomScalePageLayoutView="0" workbookViewId="0" topLeftCell="A53">
      <selection activeCell="I176" sqref="I176"/>
    </sheetView>
  </sheetViews>
  <sheetFormatPr defaultColWidth="9.6640625" defaultRowHeight="15"/>
  <cols>
    <col min="1" max="1" width="6.6640625" style="14" customWidth="1"/>
    <col min="2" max="2" width="14.6640625" style="14" customWidth="1"/>
    <col min="3" max="5" width="7.6640625" style="1" customWidth="1"/>
    <col min="6" max="7" width="9.6640625" style="1" customWidth="1"/>
    <col min="8" max="8" width="11.10546875" style="1" customWidth="1"/>
    <col min="9" max="9" width="10.6640625" style="54" customWidth="1"/>
    <col min="10" max="16384" width="9.6640625" style="54" customWidth="1"/>
  </cols>
  <sheetData>
    <row r="1" ht="15.75">
      <c r="A1" s="14" t="s">
        <v>0</v>
      </c>
    </row>
    <row r="2" spans="1:8" ht="15.75">
      <c r="A2" s="18"/>
      <c r="B2" s="14" t="s">
        <v>21</v>
      </c>
      <c r="C2" s="15"/>
      <c r="D2" s="15"/>
      <c r="E2" s="15"/>
      <c r="F2" s="16"/>
      <c r="G2" s="141" t="s">
        <v>23</v>
      </c>
      <c r="H2" s="142">
        <v>44448</v>
      </c>
    </row>
    <row r="3" spans="1:8" ht="15.75">
      <c r="A3" s="18"/>
      <c r="B3" s="66" t="s">
        <v>169</v>
      </c>
      <c r="C3" s="15"/>
      <c r="D3" s="15"/>
      <c r="E3" s="130"/>
      <c r="F3" s="16"/>
      <c r="G3" s="13"/>
      <c r="H3" s="17"/>
    </row>
    <row r="4" spans="1:8" s="190" customFormat="1" ht="23.25">
      <c r="A4" s="185"/>
      <c r="B4" s="186" t="s">
        <v>174</v>
      </c>
      <c r="C4" s="187"/>
      <c r="D4" s="187"/>
      <c r="E4" s="187"/>
      <c r="F4" s="188"/>
      <c r="G4" s="185"/>
      <c r="H4" s="189"/>
    </row>
    <row r="5" spans="1:8" ht="15.75">
      <c r="A5" s="18"/>
      <c r="B5" s="19"/>
      <c r="C5" s="19"/>
      <c r="D5" s="19"/>
      <c r="E5" s="19"/>
      <c r="F5" s="20" t="s">
        <v>22</v>
      </c>
      <c r="G5" s="18"/>
      <c r="H5" s="19" t="s">
        <v>2</v>
      </c>
    </row>
    <row r="6" spans="1:8" ht="16.5" thickBot="1">
      <c r="A6" s="18"/>
      <c r="B6" s="22" t="s">
        <v>3</v>
      </c>
      <c r="C6" s="121">
        <v>2019</v>
      </c>
      <c r="D6" s="121">
        <v>2020</v>
      </c>
      <c r="E6" s="121">
        <v>2021</v>
      </c>
      <c r="F6" s="20">
        <v>43845</v>
      </c>
      <c r="G6" s="46" t="s">
        <v>1</v>
      </c>
      <c r="H6" s="48">
        <v>1</v>
      </c>
    </row>
    <row r="7" spans="1:8" ht="15.75">
      <c r="A7" s="18">
        <v>68</v>
      </c>
      <c r="B7" s="22" t="s">
        <v>37</v>
      </c>
      <c r="C7" s="37">
        <f>18+3+2</f>
        <v>23</v>
      </c>
      <c r="D7" s="37">
        <v>6</v>
      </c>
      <c r="E7" s="37">
        <v>6</v>
      </c>
      <c r="F7" s="83">
        <v>44194</v>
      </c>
      <c r="G7" s="199">
        <f aca="true" t="shared" si="0" ref="G7:G12">E7/D7</f>
        <v>1</v>
      </c>
      <c r="H7" s="47">
        <f aca="true" t="shared" si="1" ref="H7:H12">E7-D7</f>
        <v>0</v>
      </c>
    </row>
    <row r="8" spans="1:8" ht="15.75">
      <c r="A8" s="18">
        <v>125</v>
      </c>
      <c r="B8" s="22" t="s">
        <v>4</v>
      </c>
      <c r="C8" s="87">
        <f>16+20+4+2</f>
        <v>42</v>
      </c>
      <c r="D8" s="87">
        <v>48</v>
      </c>
      <c r="E8" s="87">
        <v>52</v>
      </c>
      <c r="F8" s="84">
        <v>44371</v>
      </c>
      <c r="G8" s="198">
        <f t="shared" si="0"/>
        <v>1.0833333333333333</v>
      </c>
      <c r="H8" s="34">
        <f t="shared" si="1"/>
        <v>4</v>
      </c>
    </row>
    <row r="9" spans="1:8" ht="15.75">
      <c r="A9" s="18">
        <v>152</v>
      </c>
      <c r="B9" s="22" t="s">
        <v>5</v>
      </c>
      <c r="C9" s="87">
        <f>12</f>
        <v>12</v>
      </c>
      <c r="D9" s="87">
        <v>12</v>
      </c>
      <c r="E9" s="87">
        <v>12</v>
      </c>
      <c r="F9" s="84">
        <v>44126</v>
      </c>
      <c r="G9" s="198">
        <f t="shared" si="0"/>
        <v>1</v>
      </c>
      <c r="H9" s="34">
        <f t="shared" si="1"/>
        <v>0</v>
      </c>
    </row>
    <row r="10" spans="1:8" ht="15.75">
      <c r="A10" s="18">
        <v>155</v>
      </c>
      <c r="B10" s="22" t="s">
        <v>6</v>
      </c>
      <c r="C10" s="87">
        <f>36+18+11+13+12+5+1</f>
        <v>96</v>
      </c>
      <c r="D10" s="87">
        <v>95</v>
      </c>
      <c r="E10" s="87">
        <v>95</v>
      </c>
      <c r="F10" s="84">
        <v>44259</v>
      </c>
      <c r="G10" s="198">
        <f t="shared" si="0"/>
        <v>1</v>
      </c>
      <c r="H10" s="34">
        <f t="shared" si="1"/>
        <v>0</v>
      </c>
    </row>
    <row r="11" spans="1:8" ht="16.5" thickBot="1">
      <c r="A11" s="18">
        <v>160</v>
      </c>
      <c r="B11" s="22" t="s">
        <v>40</v>
      </c>
      <c r="C11" s="35">
        <f>18</f>
        <v>18</v>
      </c>
      <c r="D11" s="35">
        <v>20</v>
      </c>
      <c r="E11" s="35">
        <v>15</v>
      </c>
      <c r="F11" s="85">
        <v>44169</v>
      </c>
      <c r="G11" s="144">
        <f t="shared" si="0"/>
        <v>0.75</v>
      </c>
      <c r="H11" s="42">
        <f t="shared" si="1"/>
        <v>-5</v>
      </c>
    </row>
    <row r="12" spans="1:9" ht="15.75">
      <c r="A12" s="18"/>
      <c r="B12" s="22" t="s">
        <v>7</v>
      </c>
      <c r="C12" s="46">
        <f>SUM(C7:C11)</f>
        <v>191</v>
      </c>
      <c r="D12" s="46">
        <f>SUM(D7:D11)</f>
        <v>181</v>
      </c>
      <c r="E12" s="46">
        <f>SUM(E7:E11)</f>
        <v>180</v>
      </c>
      <c r="F12" s="86" t="s">
        <v>0</v>
      </c>
      <c r="G12" s="145">
        <f t="shared" si="0"/>
        <v>0.994475138121547</v>
      </c>
      <c r="H12" s="63">
        <f t="shared" si="1"/>
        <v>-1</v>
      </c>
      <c r="I12" s="55"/>
    </row>
    <row r="13" spans="1:8" ht="15.75">
      <c r="A13" s="18"/>
      <c r="B13" s="22"/>
      <c r="C13" s="15"/>
      <c r="D13" s="15"/>
      <c r="E13" s="15"/>
      <c r="F13" s="20" t="s">
        <v>22</v>
      </c>
      <c r="G13" s="146"/>
      <c r="H13" s="19" t="s">
        <v>2</v>
      </c>
    </row>
    <row r="14" spans="1:8" ht="16.5" thickBot="1">
      <c r="A14" s="18"/>
      <c r="B14" s="22" t="s">
        <v>8</v>
      </c>
      <c r="C14" s="121">
        <v>2019</v>
      </c>
      <c r="D14" s="121">
        <v>2020</v>
      </c>
      <c r="E14" s="121">
        <v>2021</v>
      </c>
      <c r="F14" s="20" t="s">
        <v>34</v>
      </c>
      <c r="G14" s="147" t="s">
        <v>1</v>
      </c>
      <c r="H14" s="41">
        <v>1</v>
      </c>
    </row>
    <row r="15" spans="1:8" ht="15.75">
      <c r="A15" s="18">
        <v>28</v>
      </c>
      <c r="B15" s="22" t="s">
        <v>41</v>
      </c>
      <c r="C15" s="37">
        <f>8</f>
        <v>8</v>
      </c>
      <c r="D15" s="37">
        <v>8</v>
      </c>
      <c r="E15" s="37">
        <v>6</v>
      </c>
      <c r="F15" s="83">
        <v>44392</v>
      </c>
      <c r="G15" s="126">
        <f aca="true" t="shared" si="2" ref="G15:G24">E15/D15</f>
        <v>0.75</v>
      </c>
      <c r="H15" s="34">
        <f aca="true" t="shared" si="3" ref="H15:H23">E15-D15</f>
        <v>-2</v>
      </c>
    </row>
    <row r="16" spans="1:8" ht="15.75">
      <c r="A16" s="18">
        <v>81</v>
      </c>
      <c r="B16" s="22" t="s">
        <v>46</v>
      </c>
      <c r="C16" s="31">
        <f>14+5</f>
        <v>19</v>
      </c>
      <c r="D16" s="31">
        <v>20</v>
      </c>
      <c r="E16" s="31">
        <v>17</v>
      </c>
      <c r="F16" s="84">
        <v>44344</v>
      </c>
      <c r="G16" s="116">
        <f t="shared" si="2"/>
        <v>0.85</v>
      </c>
      <c r="H16" s="34">
        <f t="shared" si="3"/>
        <v>-3</v>
      </c>
    </row>
    <row r="17" spans="1:8" ht="15.75">
      <c r="A17" s="18">
        <v>123</v>
      </c>
      <c r="B17" s="22" t="s">
        <v>45</v>
      </c>
      <c r="C17" s="31">
        <f>10+5+6+4+2+2+4+1+1</f>
        <v>35</v>
      </c>
      <c r="D17" s="31">
        <v>38</v>
      </c>
      <c r="E17" s="31">
        <v>38</v>
      </c>
      <c r="F17" s="84">
        <v>44335</v>
      </c>
      <c r="G17" s="198">
        <f t="shared" si="2"/>
        <v>1</v>
      </c>
      <c r="H17" s="34">
        <f t="shared" si="3"/>
        <v>0</v>
      </c>
    </row>
    <row r="18" spans="1:8" ht="15.75">
      <c r="A18" s="18">
        <v>172</v>
      </c>
      <c r="B18" s="22" t="s">
        <v>47</v>
      </c>
      <c r="C18" s="31">
        <v>109</v>
      </c>
      <c r="D18" s="31">
        <v>93</v>
      </c>
      <c r="E18" s="31">
        <v>88</v>
      </c>
      <c r="F18" s="84">
        <v>44460</v>
      </c>
      <c r="G18" s="116">
        <f t="shared" si="2"/>
        <v>0.946236559139785</v>
      </c>
      <c r="H18" s="34">
        <f t="shared" si="3"/>
        <v>-5</v>
      </c>
    </row>
    <row r="19" spans="1:8" ht="15.75">
      <c r="A19" s="18">
        <v>224</v>
      </c>
      <c r="B19" s="22" t="s">
        <v>24</v>
      </c>
      <c r="C19" s="31">
        <f>6+10+6+3+4+5+2+2+2+1</f>
        <v>41</v>
      </c>
      <c r="D19" s="31">
        <v>36</v>
      </c>
      <c r="E19" s="31">
        <v>37</v>
      </c>
      <c r="F19" s="84">
        <v>44355</v>
      </c>
      <c r="G19" s="198">
        <f t="shared" si="2"/>
        <v>1.0277777777777777</v>
      </c>
      <c r="H19" s="34">
        <f t="shared" si="3"/>
        <v>1</v>
      </c>
    </row>
    <row r="20" spans="1:8" ht="15.75">
      <c r="A20" s="18">
        <v>236</v>
      </c>
      <c r="B20" s="22" t="s">
        <v>125</v>
      </c>
      <c r="C20" s="92">
        <v>30</v>
      </c>
      <c r="D20" s="92">
        <v>29</v>
      </c>
      <c r="E20" s="92">
        <v>28</v>
      </c>
      <c r="F20" s="93">
        <v>44246</v>
      </c>
      <c r="G20" s="116">
        <f>E20/D20</f>
        <v>0.9655172413793104</v>
      </c>
      <c r="H20" s="34">
        <f>E20-D20</f>
        <v>-1</v>
      </c>
    </row>
    <row r="21" spans="1:8" ht="15.75">
      <c r="A21" s="18">
        <v>260</v>
      </c>
      <c r="B21" s="67" t="s">
        <v>153</v>
      </c>
      <c r="C21" s="92">
        <v>10</v>
      </c>
      <c r="D21" s="161">
        <v>10</v>
      </c>
      <c r="E21" s="161">
        <v>10</v>
      </c>
      <c r="F21" s="93">
        <v>44126</v>
      </c>
      <c r="G21" s="198">
        <f>E21/D21</f>
        <v>1</v>
      </c>
      <c r="H21" s="34">
        <f>E21-D21</f>
        <v>0</v>
      </c>
    </row>
    <row r="22" spans="1:8" ht="15.75">
      <c r="A22" s="18">
        <v>266</v>
      </c>
      <c r="B22" s="67" t="s">
        <v>144</v>
      </c>
      <c r="C22" s="92">
        <f>12+4+2</f>
        <v>18</v>
      </c>
      <c r="D22" s="92">
        <f>13+6</f>
        <v>19</v>
      </c>
      <c r="E22" s="92">
        <v>17</v>
      </c>
      <c r="F22" s="93">
        <v>44167</v>
      </c>
      <c r="G22" s="116">
        <f>E22/D22</f>
        <v>0.8947368421052632</v>
      </c>
      <c r="H22" s="34">
        <f>E22-D22</f>
        <v>-2</v>
      </c>
    </row>
    <row r="23" spans="1:8" ht="16.5" thickBot="1">
      <c r="A23" s="18">
        <v>344</v>
      </c>
      <c r="B23" s="67" t="s">
        <v>137</v>
      </c>
      <c r="C23" s="94">
        <f>21+1</f>
        <v>22</v>
      </c>
      <c r="D23" s="94">
        <f>22</f>
        <v>22</v>
      </c>
      <c r="E23" s="94">
        <f>16</f>
        <v>16</v>
      </c>
      <c r="F23" s="85">
        <v>44118</v>
      </c>
      <c r="G23" s="144">
        <f t="shared" si="2"/>
        <v>0.7272727272727273</v>
      </c>
      <c r="H23" s="42">
        <f t="shared" si="3"/>
        <v>-6</v>
      </c>
    </row>
    <row r="24" spans="1:8" ht="15.75">
      <c r="A24" s="18"/>
      <c r="B24" s="22" t="s">
        <v>7</v>
      </c>
      <c r="C24" s="46">
        <f>SUM(C15:C23)</f>
        <v>292</v>
      </c>
      <c r="D24" s="46">
        <f>SUM(D15:D23)</f>
        <v>275</v>
      </c>
      <c r="E24" s="46">
        <f>SUM(E15:E23)</f>
        <v>257</v>
      </c>
      <c r="F24" s="49"/>
      <c r="G24" s="145">
        <f t="shared" si="2"/>
        <v>0.9345454545454546</v>
      </c>
      <c r="H24" s="63">
        <f>E24-D24</f>
        <v>-18</v>
      </c>
    </row>
    <row r="25" spans="1:11" ht="15.75">
      <c r="A25" s="18"/>
      <c r="B25" s="22"/>
      <c r="C25" s="15"/>
      <c r="D25" s="15"/>
      <c r="E25" s="15"/>
      <c r="F25" s="20" t="s">
        <v>22</v>
      </c>
      <c r="G25" s="146"/>
      <c r="H25" s="19" t="s">
        <v>2</v>
      </c>
      <c r="K25" s="29"/>
    </row>
    <row r="26" spans="1:11" ht="16.5" thickBot="1">
      <c r="A26" s="18"/>
      <c r="B26" s="22" t="s">
        <v>9</v>
      </c>
      <c r="C26" s="121">
        <v>2019</v>
      </c>
      <c r="D26" s="121">
        <v>2020</v>
      </c>
      <c r="E26" s="121">
        <v>2021</v>
      </c>
      <c r="F26" s="20" t="s">
        <v>34</v>
      </c>
      <c r="G26" s="153" t="s">
        <v>1</v>
      </c>
      <c r="H26" s="48">
        <v>1</v>
      </c>
      <c r="K26" s="29"/>
    </row>
    <row r="27" spans="1:11" ht="15.75">
      <c r="A27" s="18">
        <v>52</v>
      </c>
      <c r="B27" s="67" t="s">
        <v>160</v>
      </c>
      <c r="C27" s="133"/>
      <c r="D27" s="138">
        <v>3</v>
      </c>
      <c r="E27" s="138">
        <v>3</v>
      </c>
      <c r="F27" s="83">
        <v>44050</v>
      </c>
      <c r="G27" s="199">
        <f aca="true" t="shared" si="4" ref="G27:G37">E27/D27</f>
        <v>1</v>
      </c>
      <c r="H27" s="181">
        <f aca="true" t="shared" si="5" ref="H27:H36">E27-D27</f>
        <v>0</v>
      </c>
      <c r="K27" s="29"/>
    </row>
    <row r="28" spans="1:254" ht="15.75">
      <c r="A28" s="18">
        <v>124</v>
      </c>
      <c r="B28" s="67" t="s">
        <v>131</v>
      </c>
      <c r="C28" s="162">
        <v>210</v>
      </c>
      <c r="D28" s="162">
        <v>178</v>
      </c>
      <c r="E28" s="162">
        <v>158</v>
      </c>
      <c r="F28" s="163">
        <v>44356</v>
      </c>
      <c r="G28" s="126">
        <f t="shared" si="4"/>
        <v>0.8876404494382022</v>
      </c>
      <c r="H28" s="131">
        <f t="shared" si="5"/>
        <v>-20</v>
      </c>
      <c r="I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ht="15.75">
      <c r="A29" s="18">
        <v>130</v>
      </c>
      <c r="B29" s="22" t="s">
        <v>25</v>
      </c>
      <c r="C29" s="69">
        <f>10+1</f>
        <v>11</v>
      </c>
      <c r="D29" s="69">
        <f>10+3</f>
        <v>13</v>
      </c>
      <c r="E29" s="69">
        <v>13</v>
      </c>
      <c r="F29" s="103">
        <v>44091</v>
      </c>
      <c r="G29" s="198">
        <f t="shared" si="4"/>
        <v>1</v>
      </c>
      <c r="H29" s="34">
        <f t="shared" si="5"/>
        <v>0</v>
      </c>
      <c r="I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8" ht="15.75">
      <c r="A30" s="18">
        <v>185</v>
      </c>
      <c r="B30" s="22" t="s">
        <v>48</v>
      </c>
      <c r="C30" s="69">
        <f>11+2+17</f>
        <v>30</v>
      </c>
      <c r="D30" s="69">
        <v>14</v>
      </c>
      <c r="E30" s="69">
        <v>9</v>
      </c>
      <c r="F30" s="80">
        <v>44222</v>
      </c>
      <c r="G30" s="116">
        <f t="shared" si="4"/>
        <v>0.6428571428571429</v>
      </c>
      <c r="H30" s="34">
        <f t="shared" si="5"/>
        <v>-5</v>
      </c>
    </row>
    <row r="31" spans="1:8" ht="15.75">
      <c r="A31" s="18">
        <v>275</v>
      </c>
      <c r="B31" s="22" t="s">
        <v>49</v>
      </c>
      <c r="C31" s="69">
        <f>23+7+7+9+12+6+2+22+22</f>
        <v>110</v>
      </c>
      <c r="D31" s="69">
        <v>77</v>
      </c>
      <c r="E31" s="69">
        <v>53</v>
      </c>
      <c r="F31" s="80">
        <v>44328</v>
      </c>
      <c r="G31" s="116">
        <f t="shared" si="4"/>
        <v>0.6883116883116883</v>
      </c>
      <c r="H31" s="34">
        <f t="shared" si="5"/>
        <v>-24</v>
      </c>
    </row>
    <row r="32" spans="1:8" ht="15.75">
      <c r="A32" s="18">
        <v>277</v>
      </c>
      <c r="B32" s="22" t="s">
        <v>50</v>
      </c>
      <c r="C32" s="69">
        <f>7+2+1</f>
        <v>10</v>
      </c>
      <c r="D32" s="69">
        <v>9</v>
      </c>
      <c r="E32" s="69">
        <v>9</v>
      </c>
      <c r="F32" s="80">
        <v>44147</v>
      </c>
      <c r="G32" s="198">
        <f t="shared" si="4"/>
        <v>1</v>
      </c>
      <c r="H32" s="34">
        <f t="shared" si="5"/>
        <v>0</v>
      </c>
    </row>
    <row r="33" spans="1:8" ht="15.75">
      <c r="A33" s="18">
        <v>293</v>
      </c>
      <c r="B33" s="67" t="s">
        <v>128</v>
      </c>
      <c r="C33" s="69">
        <f>8</f>
        <v>8</v>
      </c>
      <c r="D33" s="69">
        <v>9</v>
      </c>
      <c r="E33" s="69">
        <v>9</v>
      </c>
      <c r="F33" s="80">
        <v>44425</v>
      </c>
      <c r="G33" s="198">
        <f t="shared" si="4"/>
        <v>1</v>
      </c>
      <c r="H33" s="34">
        <f t="shared" si="5"/>
        <v>0</v>
      </c>
    </row>
    <row r="34" spans="1:8" ht="15.75">
      <c r="A34" s="18">
        <v>325</v>
      </c>
      <c r="B34" s="22" t="s">
        <v>126</v>
      </c>
      <c r="C34" s="69">
        <f>39</f>
        <v>39</v>
      </c>
      <c r="D34" s="69">
        <v>22</v>
      </c>
      <c r="E34" s="69">
        <v>14</v>
      </c>
      <c r="F34" s="80">
        <v>44420</v>
      </c>
      <c r="G34" s="116">
        <f t="shared" si="4"/>
        <v>0.6363636363636364</v>
      </c>
      <c r="H34" s="34">
        <f t="shared" si="5"/>
        <v>-8</v>
      </c>
    </row>
    <row r="35" spans="1:8" ht="15.75">
      <c r="A35" s="18">
        <v>338</v>
      </c>
      <c r="B35" s="22" t="s">
        <v>26</v>
      </c>
      <c r="C35" s="23">
        <f>6+1+3+2+5+5+1+1+1</f>
        <v>25</v>
      </c>
      <c r="D35" s="23">
        <v>32</v>
      </c>
      <c r="E35" s="23">
        <v>25</v>
      </c>
      <c r="F35" s="171">
        <v>44323</v>
      </c>
      <c r="G35" s="172">
        <f t="shared" si="4"/>
        <v>0.78125</v>
      </c>
      <c r="H35" s="173">
        <f t="shared" si="5"/>
        <v>-7</v>
      </c>
    </row>
    <row r="36" spans="1:8" ht="16.5" thickBot="1">
      <c r="A36" s="18">
        <v>351</v>
      </c>
      <c r="B36" s="67" t="s">
        <v>164</v>
      </c>
      <c r="C36" s="35"/>
      <c r="D36" s="35">
        <v>15</v>
      </c>
      <c r="E36" s="35">
        <v>17</v>
      </c>
      <c r="F36" s="85">
        <v>44561</v>
      </c>
      <c r="G36" s="200">
        <f t="shared" si="4"/>
        <v>1.1333333333333333</v>
      </c>
      <c r="H36" s="180">
        <f t="shared" si="5"/>
        <v>2</v>
      </c>
    </row>
    <row r="37" spans="1:8" s="56" customFormat="1" ht="15.75">
      <c r="A37" s="18"/>
      <c r="B37" s="22" t="s">
        <v>7</v>
      </c>
      <c r="C37" s="46">
        <f>SUM(C27:C36)</f>
        <v>443</v>
      </c>
      <c r="D37" s="46">
        <f>SUM(D27:D36)</f>
        <v>372</v>
      </c>
      <c r="E37" s="46">
        <f>SUM(E27:E36)</f>
        <v>310</v>
      </c>
      <c r="F37" s="49"/>
      <c r="G37" s="145">
        <f t="shared" si="4"/>
        <v>0.8333333333333334</v>
      </c>
      <c r="H37" s="63">
        <f>E37-D37</f>
        <v>-62</v>
      </c>
    </row>
    <row r="38" spans="1:8" ht="15.75">
      <c r="A38" s="18"/>
      <c r="B38" s="19"/>
      <c r="C38" s="15"/>
      <c r="D38" s="15"/>
      <c r="E38" s="15"/>
      <c r="F38" s="20" t="s">
        <v>22</v>
      </c>
      <c r="G38" s="146"/>
      <c r="H38" s="19" t="s">
        <v>2</v>
      </c>
    </row>
    <row r="39" spans="1:8" ht="16.5" thickBot="1">
      <c r="A39" s="18"/>
      <c r="B39" s="22" t="s">
        <v>10</v>
      </c>
      <c r="C39" s="121">
        <v>2019</v>
      </c>
      <c r="D39" s="121">
        <v>2020</v>
      </c>
      <c r="E39" s="121">
        <v>2021</v>
      </c>
      <c r="F39" s="20" t="s">
        <v>34</v>
      </c>
      <c r="G39" s="147" t="s">
        <v>1</v>
      </c>
      <c r="H39" s="41">
        <v>1</v>
      </c>
    </row>
    <row r="40" spans="1:8" ht="15.75">
      <c r="A40" s="18">
        <v>2</v>
      </c>
      <c r="B40" s="22" t="s">
        <v>52</v>
      </c>
      <c r="C40" s="50">
        <f>22</f>
        <v>22</v>
      </c>
      <c r="D40" s="50">
        <v>22</v>
      </c>
      <c r="E40" s="50">
        <v>12</v>
      </c>
      <c r="F40" s="51">
        <v>44194</v>
      </c>
      <c r="G40" s="116">
        <f aca="true" t="shared" si="6" ref="G40:G62">E40/D40</f>
        <v>0.5454545454545454</v>
      </c>
      <c r="H40" s="34">
        <f aca="true" t="shared" si="7" ref="H40:H61">E40-D40</f>
        <v>-10</v>
      </c>
    </row>
    <row r="41" spans="1:8" ht="15.75">
      <c r="A41" s="18">
        <v>41</v>
      </c>
      <c r="B41" s="22" t="s">
        <v>51</v>
      </c>
      <c r="C41" s="23">
        <v>25</v>
      </c>
      <c r="D41" s="23">
        <f>21+11</f>
        <v>32</v>
      </c>
      <c r="E41" s="23">
        <v>26</v>
      </c>
      <c r="F41" s="24">
        <v>44274</v>
      </c>
      <c r="G41" s="116">
        <f t="shared" si="6"/>
        <v>0.8125</v>
      </c>
      <c r="H41" s="34">
        <f t="shared" si="7"/>
        <v>-6</v>
      </c>
    </row>
    <row r="42" spans="1:8" ht="15.75">
      <c r="A42" s="18">
        <v>58</v>
      </c>
      <c r="B42" s="22" t="s">
        <v>121</v>
      </c>
      <c r="C42" s="23">
        <f>23+2+1</f>
        <v>26</v>
      </c>
      <c r="D42" s="23">
        <v>23</v>
      </c>
      <c r="E42" s="23">
        <v>20</v>
      </c>
      <c r="F42" s="24">
        <v>44315</v>
      </c>
      <c r="G42" s="116">
        <f t="shared" si="6"/>
        <v>0.8695652173913043</v>
      </c>
      <c r="H42" s="34">
        <f t="shared" si="7"/>
        <v>-3</v>
      </c>
    </row>
    <row r="43" spans="1:8" ht="15.75">
      <c r="A43" s="18">
        <v>59</v>
      </c>
      <c r="B43" s="22" t="s">
        <v>53</v>
      </c>
      <c r="C43" s="23">
        <f>4+1+2+1+1+1</f>
        <v>10</v>
      </c>
      <c r="D43" s="23">
        <v>8</v>
      </c>
      <c r="E43" s="23">
        <v>7</v>
      </c>
      <c r="F43" s="24">
        <v>44134</v>
      </c>
      <c r="G43" s="116">
        <f t="shared" si="6"/>
        <v>0.875</v>
      </c>
      <c r="H43" s="34">
        <f t="shared" si="7"/>
        <v>-1</v>
      </c>
    </row>
    <row r="44" spans="1:8" ht="15.75">
      <c r="A44" s="18">
        <v>92</v>
      </c>
      <c r="B44" s="22" t="s">
        <v>54</v>
      </c>
      <c r="C44" s="23">
        <v>33</v>
      </c>
      <c r="D44" s="23">
        <v>34</v>
      </c>
      <c r="E44" s="23">
        <v>34</v>
      </c>
      <c r="F44" s="24">
        <v>44371</v>
      </c>
      <c r="G44" s="116">
        <f t="shared" si="6"/>
        <v>1</v>
      </c>
      <c r="H44" s="34">
        <f t="shared" si="7"/>
        <v>0</v>
      </c>
    </row>
    <row r="45" spans="1:8" ht="15.75">
      <c r="A45" s="18">
        <v>102</v>
      </c>
      <c r="B45" s="22" t="s">
        <v>42</v>
      </c>
      <c r="C45" s="23">
        <v>108</v>
      </c>
      <c r="D45" s="70">
        <v>104</v>
      </c>
      <c r="E45" s="23">
        <v>113</v>
      </c>
      <c r="F45" s="24">
        <v>44509</v>
      </c>
      <c r="G45" s="198">
        <f t="shared" si="6"/>
        <v>1.0865384615384615</v>
      </c>
      <c r="H45" s="34">
        <f t="shared" si="7"/>
        <v>9</v>
      </c>
    </row>
    <row r="46" spans="1:8" ht="15.75">
      <c r="A46" s="18">
        <v>109</v>
      </c>
      <c r="B46" s="22" t="s">
        <v>55</v>
      </c>
      <c r="C46" s="23">
        <f>34</f>
        <v>34</v>
      </c>
      <c r="D46" s="23">
        <v>28</v>
      </c>
      <c r="E46" s="23">
        <v>26</v>
      </c>
      <c r="F46" s="24">
        <v>44307</v>
      </c>
      <c r="G46" s="116">
        <f t="shared" si="6"/>
        <v>0.9285714285714286</v>
      </c>
      <c r="H46" s="34">
        <f t="shared" si="7"/>
        <v>-2</v>
      </c>
    </row>
    <row r="47" spans="1:8" ht="15.75">
      <c r="A47" s="18">
        <v>129</v>
      </c>
      <c r="B47" s="22" t="s">
        <v>56</v>
      </c>
      <c r="C47" s="23">
        <f>16+16+6</f>
        <v>38</v>
      </c>
      <c r="D47" s="23">
        <v>32</v>
      </c>
      <c r="E47" s="23">
        <v>12</v>
      </c>
      <c r="F47" s="24">
        <v>44126</v>
      </c>
      <c r="G47" s="116">
        <f t="shared" si="6"/>
        <v>0.375</v>
      </c>
      <c r="H47" s="34">
        <f t="shared" si="7"/>
        <v>-20</v>
      </c>
    </row>
    <row r="48" spans="1:8" ht="15.75">
      <c r="A48" s="18">
        <v>138</v>
      </c>
      <c r="B48" s="67" t="s">
        <v>132</v>
      </c>
      <c r="C48" s="23">
        <f>17+7+4+1</f>
        <v>29</v>
      </c>
      <c r="D48" s="23">
        <v>29</v>
      </c>
      <c r="E48" s="23">
        <v>31</v>
      </c>
      <c r="F48" s="24">
        <v>44281</v>
      </c>
      <c r="G48" s="198">
        <f t="shared" si="6"/>
        <v>1.0689655172413792</v>
      </c>
      <c r="H48" s="34">
        <f t="shared" si="7"/>
        <v>2</v>
      </c>
    </row>
    <row r="49" spans="1:8" ht="15.75">
      <c r="A49" s="18">
        <v>184</v>
      </c>
      <c r="B49" s="22" t="s">
        <v>36</v>
      </c>
      <c r="C49" s="23">
        <v>31</v>
      </c>
      <c r="D49" s="23">
        <v>31</v>
      </c>
      <c r="E49" s="23">
        <v>34</v>
      </c>
      <c r="F49" s="24">
        <v>44371</v>
      </c>
      <c r="G49" s="116">
        <f t="shared" si="6"/>
        <v>1.096774193548387</v>
      </c>
      <c r="H49" s="34">
        <f t="shared" si="7"/>
        <v>3</v>
      </c>
    </row>
    <row r="50" spans="1:8" ht="15.75">
      <c r="A50" s="18">
        <v>189</v>
      </c>
      <c r="B50" s="22" t="s">
        <v>57</v>
      </c>
      <c r="C50" s="23">
        <f>14+7+1+2</f>
        <v>24</v>
      </c>
      <c r="D50" s="23">
        <v>24</v>
      </c>
      <c r="E50" s="23">
        <v>25</v>
      </c>
      <c r="F50" s="80">
        <v>44183</v>
      </c>
      <c r="G50" s="198">
        <f t="shared" si="6"/>
        <v>1.0416666666666667</v>
      </c>
      <c r="H50" s="34">
        <f t="shared" si="7"/>
        <v>1</v>
      </c>
    </row>
    <row r="51" spans="1:254" ht="15.75">
      <c r="A51" s="18">
        <v>193</v>
      </c>
      <c r="B51" s="22" t="s">
        <v>58</v>
      </c>
      <c r="C51" s="23">
        <v>150</v>
      </c>
      <c r="D51" s="23">
        <v>150</v>
      </c>
      <c r="E51" s="23">
        <v>173</v>
      </c>
      <c r="F51" s="24">
        <v>44385</v>
      </c>
      <c r="G51" s="198">
        <f t="shared" si="6"/>
        <v>1.1533333333333333</v>
      </c>
      <c r="H51" s="34">
        <f t="shared" si="7"/>
        <v>23</v>
      </c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</row>
    <row r="52" spans="1:254" ht="15.75">
      <c r="A52" s="170">
        <v>204</v>
      </c>
      <c r="B52" s="67" t="s">
        <v>163</v>
      </c>
      <c r="C52" s="23"/>
      <c r="D52" s="23">
        <v>9</v>
      </c>
      <c r="E52" s="23">
        <v>13</v>
      </c>
      <c r="F52" s="24">
        <v>44141</v>
      </c>
      <c r="G52" s="198">
        <f t="shared" si="6"/>
        <v>1.4444444444444444</v>
      </c>
      <c r="H52" s="178">
        <f t="shared" si="7"/>
        <v>4</v>
      </c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</row>
    <row r="53" spans="1:9" ht="15.75">
      <c r="A53" s="18">
        <v>234</v>
      </c>
      <c r="B53" s="22" t="s">
        <v>27</v>
      </c>
      <c r="C53" s="23">
        <f>14+11+27+9</f>
        <v>61</v>
      </c>
      <c r="D53" s="23">
        <v>53</v>
      </c>
      <c r="E53" s="23">
        <v>16</v>
      </c>
      <c r="F53" s="24">
        <v>44295</v>
      </c>
      <c r="G53" s="116">
        <f t="shared" si="6"/>
        <v>0.3018867924528302</v>
      </c>
      <c r="H53" s="34">
        <f t="shared" si="7"/>
        <v>-37</v>
      </c>
      <c r="I53" s="30"/>
    </row>
    <row r="54" spans="1:8" ht="15.75">
      <c r="A54" s="18">
        <v>244</v>
      </c>
      <c r="B54" s="22" t="s">
        <v>43</v>
      </c>
      <c r="C54" s="23">
        <v>60</v>
      </c>
      <c r="D54" s="23">
        <v>53</v>
      </c>
      <c r="E54" s="23">
        <v>46</v>
      </c>
      <c r="F54" s="24">
        <v>44448</v>
      </c>
      <c r="G54" s="116">
        <f t="shared" si="6"/>
        <v>0.8679245283018868</v>
      </c>
      <c r="H54" s="34">
        <f t="shared" si="7"/>
        <v>-7</v>
      </c>
    </row>
    <row r="55" spans="1:8" ht="15.75">
      <c r="A55" s="18">
        <v>279</v>
      </c>
      <c r="B55" s="22" t="s">
        <v>39</v>
      </c>
      <c r="C55" s="23">
        <f>23+11+2</f>
        <v>36</v>
      </c>
      <c r="D55" s="23">
        <v>22</v>
      </c>
      <c r="E55" s="23">
        <v>15</v>
      </c>
      <c r="F55" s="24">
        <v>44211</v>
      </c>
      <c r="G55" s="116">
        <f t="shared" si="6"/>
        <v>0.6818181818181818</v>
      </c>
      <c r="H55" s="34">
        <f t="shared" si="7"/>
        <v>-7</v>
      </c>
    </row>
    <row r="56" spans="1:8" ht="15.75">
      <c r="A56" s="18">
        <v>288</v>
      </c>
      <c r="B56" s="22" t="s">
        <v>59</v>
      </c>
      <c r="C56" s="23">
        <f>8+3</f>
        <v>11</v>
      </c>
      <c r="D56" s="23">
        <v>14</v>
      </c>
      <c r="E56" s="23">
        <v>6</v>
      </c>
      <c r="F56" s="24">
        <v>44302</v>
      </c>
      <c r="G56" s="116">
        <f t="shared" si="6"/>
        <v>0.42857142857142855</v>
      </c>
      <c r="H56" s="34">
        <f t="shared" si="7"/>
        <v>-8</v>
      </c>
    </row>
    <row r="57" spans="1:8" ht="15.75">
      <c r="A57" s="18">
        <v>373</v>
      </c>
      <c r="B57" s="22" t="s">
        <v>28</v>
      </c>
      <c r="C57" s="23">
        <f>14+11+5+6+7+13+5+3+3+1</f>
        <v>68</v>
      </c>
      <c r="D57" s="23">
        <v>66</v>
      </c>
      <c r="E57" s="23">
        <v>59</v>
      </c>
      <c r="F57" s="24">
        <v>44460</v>
      </c>
      <c r="G57" s="116">
        <f t="shared" si="6"/>
        <v>0.8939393939393939</v>
      </c>
      <c r="H57" s="34">
        <f t="shared" si="7"/>
        <v>-7</v>
      </c>
    </row>
    <row r="58" spans="1:8" ht="15.75">
      <c r="A58" s="18">
        <v>414</v>
      </c>
      <c r="B58" s="22" t="s">
        <v>123</v>
      </c>
      <c r="C58" s="23">
        <v>69</v>
      </c>
      <c r="D58" s="23">
        <v>71</v>
      </c>
      <c r="E58" s="23">
        <v>68</v>
      </c>
      <c r="F58" s="24">
        <v>44377</v>
      </c>
      <c r="G58" s="116">
        <f t="shared" si="6"/>
        <v>0.9577464788732394</v>
      </c>
      <c r="H58" s="34">
        <f t="shared" si="7"/>
        <v>-3</v>
      </c>
    </row>
    <row r="59" spans="1:8" ht="15.75">
      <c r="A59" s="18">
        <v>429</v>
      </c>
      <c r="B59" s="22" t="s">
        <v>11</v>
      </c>
      <c r="C59" s="23">
        <f>1+2+5+1</f>
        <v>9</v>
      </c>
      <c r="D59" s="23">
        <f>9</f>
        <v>9</v>
      </c>
      <c r="E59" s="23">
        <v>8</v>
      </c>
      <c r="F59" s="45">
        <v>44274</v>
      </c>
      <c r="G59" s="116">
        <f t="shared" si="6"/>
        <v>0.8888888888888888</v>
      </c>
      <c r="H59" s="34">
        <f t="shared" si="7"/>
        <v>-1</v>
      </c>
    </row>
    <row r="60" spans="1:8" ht="15.75">
      <c r="A60" s="18">
        <v>435</v>
      </c>
      <c r="B60" s="22" t="s">
        <v>120</v>
      </c>
      <c r="C60" s="23">
        <f>13+3+2+2+8+5+5+4+25+3+2+2+2+1+1</f>
        <v>78</v>
      </c>
      <c r="D60" s="23">
        <v>76</v>
      </c>
      <c r="E60" s="23">
        <v>67</v>
      </c>
      <c r="F60" s="45">
        <v>44371</v>
      </c>
      <c r="G60" s="116">
        <f t="shared" si="6"/>
        <v>0.881578947368421</v>
      </c>
      <c r="H60" s="34">
        <f t="shared" si="7"/>
        <v>-9</v>
      </c>
    </row>
    <row r="61" spans="1:8" ht="16.5" thickBot="1">
      <c r="A61" s="18">
        <v>443</v>
      </c>
      <c r="B61" s="22" t="s">
        <v>119</v>
      </c>
      <c r="C61" s="52">
        <v>68</v>
      </c>
      <c r="D61" s="52">
        <v>108</v>
      </c>
      <c r="E61" s="52">
        <v>109</v>
      </c>
      <c r="F61" s="53">
        <v>44460</v>
      </c>
      <c r="G61" s="200">
        <f t="shared" si="6"/>
        <v>1.0092592592592593</v>
      </c>
      <c r="H61" s="42">
        <f t="shared" si="7"/>
        <v>1</v>
      </c>
    </row>
    <row r="62" spans="1:8" s="56" customFormat="1" ht="15.75">
      <c r="A62" s="18"/>
      <c r="B62" s="22" t="s">
        <v>7</v>
      </c>
      <c r="C62" s="46">
        <f>SUM(C40:C61)</f>
        <v>990</v>
      </c>
      <c r="D62" s="46">
        <f>SUM(D40:D61)</f>
        <v>998</v>
      </c>
      <c r="E62" s="46">
        <f>SUM(E40:E61)</f>
        <v>920</v>
      </c>
      <c r="F62" s="49"/>
      <c r="G62" s="145">
        <f t="shared" si="6"/>
        <v>0.9218436873747495</v>
      </c>
      <c r="H62" s="63">
        <f>E62-D62</f>
        <v>-78</v>
      </c>
    </row>
    <row r="63" spans="1:8" ht="15.75">
      <c r="A63" s="18"/>
      <c r="B63" s="19"/>
      <c r="C63" s="15"/>
      <c r="D63" s="15"/>
      <c r="E63" s="15"/>
      <c r="F63" s="20" t="s">
        <v>22</v>
      </c>
      <c r="G63" s="146"/>
      <c r="H63" s="19" t="s">
        <v>2</v>
      </c>
    </row>
    <row r="64" spans="1:8" ht="16.5" thickBot="1">
      <c r="A64" s="18"/>
      <c r="B64" s="22" t="s">
        <v>12</v>
      </c>
      <c r="C64" s="122">
        <v>2019</v>
      </c>
      <c r="D64" s="122">
        <v>2020</v>
      </c>
      <c r="E64" s="122">
        <v>2021</v>
      </c>
      <c r="F64" s="20" t="s">
        <v>34</v>
      </c>
      <c r="G64" s="147" t="s">
        <v>1</v>
      </c>
      <c r="H64" s="41">
        <v>1</v>
      </c>
    </row>
    <row r="65" spans="1:8" ht="15.75">
      <c r="A65" s="18">
        <v>19</v>
      </c>
      <c r="B65" s="22" t="s">
        <v>13</v>
      </c>
      <c r="C65" s="39">
        <v>41</v>
      </c>
      <c r="D65" s="39">
        <v>34</v>
      </c>
      <c r="E65" s="98">
        <v>33</v>
      </c>
      <c r="F65" s="51">
        <v>44155</v>
      </c>
      <c r="G65" s="116">
        <f aca="true" t="shared" si="8" ref="G65:G92">E65/D65</f>
        <v>0.9705882352941176</v>
      </c>
      <c r="H65" s="34">
        <f aca="true" t="shared" si="9" ref="H65:H91">E65-D65</f>
        <v>-1</v>
      </c>
    </row>
    <row r="66" spans="1:8" ht="15.75">
      <c r="A66" s="18">
        <v>39</v>
      </c>
      <c r="B66" s="22" t="s">
        <v>14</v>
      </c>
      <c r="C66" s="23">
        <f>76</f>
        <v>76</v>
      </c>
      <c r="D66" s="23">
        <v>82</v>
      </c>
      <c r="E66" s="23">
        <v>82</v>
      </c>
      <c r="F66" s="24">
        <v>44246</v>
      </c>
      <c r="G66" s="198">
        <f t="shared" si="8"/>
        <v>1</v>
      </c>
      <c r="H66" s="34">
        <f t="shared" si="9"/>
        <v>0</v>
      </c>
    </row>
    <row r="67" spans="1:8" ht="15.75">
      <c r="A67" s="18">
        <v>45</v>
      </c>
      <c r="B67" s="22" t="s">
        <v>60</v>
      </c>
      <c r="C67" s="23">
        <f>12+11+17+20+10+44+6+6+6+1+3</f>
        <v>136</v>
      </c>
      <c r="D67" s="23">
        <v>121</v>
      </c>
      <c r="E67" s="23">
        <v>114</v>
      </c>
      <c r="F67" s="24">
        <v>44252</v>
      </c>
      <c r="G67" s="116">
        <f t="shared" si="8"/>
        <v>0.9421487603305785</v>
      </c>
      <c r="H67" s="34">
        <f t="shared" si="9"/>
        <v>-7</v>
      </c>
    </row>
    <row r="68" spans="1:8" ht="15.75">
      <c r="A68" s="18">
        <v>55</v>
      </c>
      <c r="B68" s="67" t="s">
        <v>138</v>
      </c>
      <c r="C68" s="23">
        <f>3+3</f>
        <v>6</v>
      </c>
      <c r="D68" s="23">
        <f>5</f>
        <v>5</v>
      </c>
      <c r="E68" s="23">
        <v>0</v>
      </c>
      <c r="F68" s="24"/>
      <c r="G68" s="116">
        <f t="shared" si="8"/>
        <v>0</v>
      </c>
      <c r="H68" s="34">
        <f t="shared" si="9"/>
        <v>-5</v>
      </c>
    </row>
    <row r="69" spans="1:8" ht="15.75">
      <c r="A69" s="18">
        <v>62</v>
      </c>
      <c r="B69" s="22" t="s">
        <v>61</v>
      </c>
      <c r="C69" s="23">
        <v>76</v>
      </c>
      <c r="D69" s="23">
        <v>60</v>
      </c>
      <c r="E69" s="23">
        <v>36</v>
      </c>
      <c r="F69" s="24">
        <v>44225</v>
      </c>
      <c r="G69" s="116">
        <f t="shared" si="8"/>
        <v>0.6</v>
      </c>
      <c r="H69" s="34">
        <f t="shared" si="9"/>
        <v>-24</v>
      </c>
    </row>
    <row r="70" spans="1:8" ht="15.75">
      <c r="A70" s="18">
        <v>69</v>
      </c>
      <c r="B70" s="22" t="s">
        <v>62</v>
      </c>
      <c r="C70" s="23">
        <f>4+1</f>
        <v>5</v>
      </c>
      <c r="D70" s="23">
        <v>29</v>
      </c>
      <c r="E70" s="23">
        <v>21</v>
      </c>
      <c r="F70" s="24">
        <v>44371</v>
      </c>
      <c r="G70" s="116">
        <f t="shared" si="8"/>
        <v>0.7241379310344828</v>
      </c>
      <c r="H70" s="34">
        <f t="shared" si="9"/>
        <v>-8</v>
      </c>
    </row>
    <row r="71" spans="1:8" ht="15.75">
      <c r="A71" s="18">
        <v>77</v>
      </c>
      <c r="B71" s="22" t="s">
        <v>63</v>
      </c>
      <c r="C71" s="23">
        <f>7+5+6+8</f>
        <v>26</v>
      </c>
      <c r="D71" s="23">
        <v>19</v>
      </c>
      <c r="E71" s="23">
        <v>0</v>
      </c>
      <c r="F71" s="24"/>
      <c r="G71" s="116">
        <f t="shared" si="8"/>
        <v>0</v>
      </c>
      <c r="H71" s="34">
        <f t="shared" si="9"/>
        <v>-19</v>
      </c>
    </row>
    <row r="72" spans="1:8" ht="15.75">
      <c r="A72" s="18">
        <v>87</v>
      </c>
      <c r="B72" s="22" t="s">
        <v>64</v>
      </c>
      <c r="C72" s="23">
        <f>25</f>
        <v>25</v>
      </c>
      <c r="D72" s="23">
        <v>0</v>
      </c>
      <c r="E72" s="23">
        <v>0</v>
      </c>
      <c r="F72" s="24"/>
      <c r="G72" s="116" t="e">
        <f t="shared" si="8"/>
        <v>#DIV/0!</v>
      </c>
      <c r="H72" s="34">
        <f t="shared" si="9"/>
        <v>0</v>
      </c>
    </row>
    <row r="73" spans="1:8" ht="15.75">
      <c r="A73" s="18">
        <v>101</v>
      </c>
      <c r="B73" s="22" t="s">
        <v>65</v>
      </c>
      <c r="C73" s="23">
        <v>113</v>
      </c>
      <c r="D73" s="23">
        <v>104</v>
      </c>
      <c r="E73" s="23">
        <v>98</v>
      </c>
      <c r="F73" s="24">
        <v>44377</v>
      </c>
      <c r="G73" s="116">
        <f t="shared" si="8"/>
        <v>0.9423076923076923</v>
      </c>
      <c r="H73" s="34">
        <f t="shared" si="9"/>
        <v>-6</v>
      </c>
    </row>
    <row r="74" spans="1:8" ht="15.75">
      <c r="A74" s="18">
        <v>107</v>
      </c>
      <c r="B74" s="22" t="s">
        <v>66</v>
      </c>
      <c r="C74" s="23">
        <f>5</f>
        <v>5</v>
      </c>
      <c r="D74" s="23">
        <v>5</v>
      </c>
      <c r="E74" s="23">
        <v>5</v>
      </c>
      <c r="F74" s="24">
        <v>44183</v>
      </c>
      <c r="G74" s="198">
        <f t="shared" si="8"/>
        <v>1</v>
      </c>
      <c r="H74" s="34">
        <f t="shared" si="9"/>
        <v>0</v>
      </c>
    </row>
    <row r="75" spans="1:8" ht="15.75">
      <c r="A75" s="18">
        <v>115</v>
      </c>
      <c r="B75" s="22" t="s">
        <v>44</v>
      </c>
      <c r="C75" s="23">
        <f>37+6</f>
        <v>43</v>
      </c>
      <c r="D75" s="23">
        <v>40</v>
      </c>
      <c r="E75" s="23">
        <v>35</v>
      </c>
      <c r="F75" s="24">
        <v>44281</v>
      </c>
      <c r="G75" s="116">
        <f t="shared" si="8"/>
        <v>0.875</v>
      </c>
      <c r="H75" s="34">
        <f t="shared" si="9"/>
        <v>-5</v>
      </c>
    </row>
    <row r="76" spans="1:8" ht="15.75">
      <c r="A76" s="18">
        <v>132</v>
      </c>
      <c r="B76" s="22" t="s">
        <v>67</v>
      </c>
      <c r="C76" s="23">
        <v>53</v>
      </c>
      <c r="D76" s="23">
        <v>58</v>
      </c>
      <c r="E76" s="23">
        <v>58</v>
      </c>
      <c r="F76" s="24">
        <v>44302</v>
      </c>
      <c r="G76" s="198">
        <f t="shared" si="8"/>
        <v>1</v>
      </c>
      <c r="H76" s="34">
        <f t="shared" si="9"/>
        <v>0</v>
      </c>
    </row>
    <row r="77" spans="1:8" ht="15.75">
      <c r="A77" s="18">
        <v>136</v>
      </c>
      <c r="B77" s="22" t="s">
        <v>68</v>
      </c>
      <c r="C77" s="23">
        <v>34</v>
      </c>
      <c r="D77" s="23">
        <v>35</v>
      </c>
      <c r="E77" s="23">
        <v>35</v>
      </c>
      <c r="F77" s="24">
        <v>44323</v>
      </c>
      <c r="G77" s="198">
        <f t="shared" si="8"/>
        <v>1</v>
      </c>
      <c r="H77" s="34">
        <f t="shared" si="9"/>
        <v>0</v>
      </c>
    </row>
    <row r="78" spans="1:8" ht="15.75">
      <c r="A78" s="18">
        <v>139</v>
      </c>
      <c r="B78" s="22" t="s">
        <v>69</v>
      </c>
      <c r="C78" s="23">
        <f>1+6</f>
        <v>7</v>
      </c>
      <c r="D78" s="23">
        <f>7</f>
        <v>7</v>
      </c>
      <c r="E78" s="23">
        <v>5</v>
      </c>
      <c r="F78" s="24">
        <v>44160</v>
      </c>
      <c r="G78" s="116">
        <f t="shared" si="8"/>
        <v>0.7142857142857143</v>
      </c>
      <c r="H78" s="34">
        <f t="shared" si="9"/>
        <v>-2</v>
      </c>
    </row>
    <row r="79" spans="1:8" ht="15.75">
      <c r="A79" s="18">
        <v>156</v>
      </c>
      <c r="B79" s="22" t="s">
        <v>38</v>
      </c>
      <c r="C79" s="23">
        <v>57</v>
      </c>
      <c r="D79" s="23">
        <v>50</v>
      </c>
      <c r="E79" s="23">
        <v>51</v>
      </c>
      <c r="F79" s="24">
        <v>44344</v>
      </c>
      <c r="G79" s="198">
        <f t="shared" si="8"/>
        <v>1.02</v>
      </c>
      <c r="H79" s="34">
        <f t="shared" si="9"/>
        <v>1</v>
      </c>
    </row>
    <row r="80" spans="1:8" ht="15.75">
      <c r="A80" s="18">
        <v>159</v>
      </c>
      <c r="B80" s="22" t="s">
        <v>70</v>
      </c>
      <c r="C80" s="23">
        <f>33</f>
        <v>33</v>
      </c>
      <c r="D80" s="23">
        <f>32</f>
        <v>32</v>
      </c>
      <c r="E80" s="23">
        <v>33</v>
      </c>
      <c r="F80" s="24">
        <v>44260</v>
      </c>
      <c r="G80" s="198">
        <f t="shared" si="8"/>
        <v>1.03125</v>
      </c>
      <c r="H80" s="34">
        <f t="shared" si="9"/>
        <v>1</v>
      </c>
    </row>
    <row r="81" spans="1:8" ht="15.75">
      <c r="A81" s="18">
        <v>183</v>
      </c>
      <c r="B81" s="22" t="s">
        <v>71</v>
      </c>
      <c r="C81" s="70">
        <f>1+1+1+1</f>
        <v>4</v>
      </c>
      <c r="D81" s="23">
        <v>2</v>
      </c>
      <c r="E81" s="23">
        <v>4</v>
      </c>
      <c r="F81" s="24">
        <v>44225</v>
      </c>
      <c r="G81" s="198">
        <f t="shared" si="8"/>
        <v>2</v>
      </c>
      <c r="H81" s="34">
        <f t="shared" si="9"/>
        <v>2</v>
      </c>
    </row>
    <row r="82" spans="1:8" ht="15.75">
      <c r="A82" s="18">
        <v>191</v>
      </c>
      <c r="B82" s="22" t="s">
        <v>72</v>
      </c>
      <c r="C82" s="23">
        <f>11+22</f>
        <v>33</v>
      </c>
      <c r="D82" s="23">
        <v>15</v>
      </c>
      <c r="E82" s="23">
        <v>16</v>
      </c>
      <c r="F82" s="24">
        <v>44246</v>
      </c>
      <c r="G82" s="198">
        <f t="shared" si="8"/>
        <v>1.0666666666666667</v>
      </c>
      <c r="H82" s="34">
        <f t="shared" si="9"/>
        <v>1</v>
      </c>
    </row>
    <row r="83" spans="1:8" ht="15.75">
      <c r="A83" s="18">
        <v>221</v>
      </c>
      <c r="B83" s="22" t="s">
        <v>73</v>
      </c>
      <c r="C83" s="23">
        <v>106</v>
      </c>
      <c r="D83" s="23">
        <v>101</v>
      </c>
      <c r="E83" s="23">
        <v>74</v>
      </c>
      <c r="F83" s="80">
        <v>44490</v>
      </c>
      <c r="G83" s="116">
        <f t="shared" si="8"/>
        <v>0.7326732673267327</v>
      </c>
      <c r="H83" s="34">
        <f t="shared" si="9"/>
        <v>-27</v>
      </c>
    </row>
    <row r="84" spans="1:8" ht="15.75">
      <c r="A84" s="18">
        <v>247</v>
      </c>
      <c r="B84" s="22" t="s">
        <v>74</v>
      </c>
      <c r="C84" s="23">
        <f>4+6+7+2+1+2+2</f>
        <v>24</v>
      </c>
      <c r="D84" s="23">
        <v>15</v>
      </c>
      <c r="E84" s="23">
        <v>12</v>
      </c>
      <c r="F84" s="24">
        <v>44335</v>
      </c>
      <c r="G84" s="116">
        <f t="shared" si="8"/>
        <v>0.8</v>
      </c>
      <c r="H84" s="34">
        <f t="shared" si="9"/>
        <v>-3</v>
      </c>
    </row>
    <row r="85" spans="1:8" ht="15.75">
      <c r="A85" s="18">
        <v>273</v>
      </c>
      <c r="B85" s="22" t="s">
        <v>75</v>
      </c>
      <c r="C85" s="23">
        <v>81</v>
      </c>
      <c r="D85" s="23">
        <v>84</v>
      </c>
      <c r="E85" s="23">
        <v>86</v>
      </c>
      <c r="F85" s="24">
        <v>44328</v>
      </c>
      <c r="G85" s="198">
        <f t="shared" si="8"/>
        <v>1.0238095238095237</v>
      </c>
      <c r="H85" s="34">
        <f t="shared" si="9"/>
        <v>2</v>
      </c>
    </row>
    <row r="86" spans="1:8" ht="15.75">
      <c r="A86" s="18">
        <v>313</v>
      </c>
      <c r="B86" s="22" t="s">
        <v>35</v>
      </c>
      <c r="C86" s="23">
        <f>18+1+2</f>
        <v>21</v>
      </c>
      <c r="D86" s="23">
        <v>30</v>
      </c>
      <c r="E86" s="23">
        <v>26</v>
      </c>
      <c r="F86" s="45">
        <v>44356</v>
      </c>
      <c r="G86" s="116">
        <f t="shared" si="8"/>
        <v>0.8666666666666667</v>
      </c>
      <c r="H86" s="34">
        <f t="shared" si="9"/>
        <v>-4</v>
      </c>
    </row>
    <row r="87" spans="1:8" ht="15.75">
      <c r="A87" s="18">
        <v>315</v>
      </c>
      <c r="B87" s="22" t="s">
        <v>76</v>
      </c>
      <c r="C87" s="23">
        <v>49</v>
      </c>
      <c r="D87" s="23">
        <v>54</v>
      </c>
      <c r="E87" s="23">
        <v>52</v>
      </c>
      <c r="F87" s="45">
        <v>44371</v>
      </c>
      <c r="G87" s="116">
        <f t="shared" si="8"/>
        <v>0.9629629629629629</v>
      </c>
      <c r="H87" s="34">
        <f t="shared" si="9"/>
        <v>-2</v>
      </c>
    </row>
    <row r="88" spans="1:8" ht="15.75">
      <c r="A88" s="18">
        <v>361</v>
      </c>
      <c r="B88" s="67" t="s">
        <v>77</v>
      </c>
      <c r="C88" s="23">
        <v>20</v>
      </c>
      <c r="D88" s="23">
        <v>18</v>
      </c>
      <c r="E88" s="23">
        <v>18</v>
      </c>
      <c r="F88" s="45">
        <v>44183</v>
      </c>
      <c r="G88" s="198">
        <f t="shared" si="8"/>
        <v>1</v>
      </c>
      <c r="H88" s="34">
        <f t="shared" si="9"/>
        <v>0</v>
      </c>
    </row>
    <row r="89" spans="1:8" ht="15.75">
      <c r="A89" s="18">
        <v>437</v>
      </c>
      <c r="B89" s="22" t="s">
        <v>78</v>
      </c>
      <c r="C89" s="23">
        <v>97</v>
      </c>
      <c r="D89" s="23">
        <v>86</v>
      </c>
      <c r="E89" s="23">
        <v>75</v>
      </c>
      <c r="F89" s="45">
        <v>44484</v>
      </c>
      <c r="G89" s="116">
        <f t="shared" si="8"/>
        <v>0.872093023255814</v>
      </c>
      <c r="H89" s="34">
        <f t="shared" si="9"/>
        <v>-11</v>
      </c>
    </row>
    <row r="90" spans="1:8" ht="15.75">
      <c r="A90" s="18">
        <v>440</v>
      </c>
      <c r="B90" s="22" t="s">
        <v>79</v>
      </c>
      <c r="C90" s="23">
        <v>131</v>
      </c>
      <c r="D90" s="23">
        <v>166</v>
      </c>
      <c r="E90" s="23">
        <v>141</v>
      </c>
      <c r="F90" s="80">
        <v>44371</v>
      </c>
      <c r="G90" s="116">
        <f t="shared" si="8"/>
        <v>0.8493975903614458</v>
      </c>
      <c r="H90" s="34">
        <f t="shared" si="9"/>
        <v>-25</v>
      </c>
    </row>
    <row r="91" spans="1:8" ht="16.5" thickBot="1">
      <c r="A91" s="7">
        <v>442</v>
      </c>
      <c r="B91" s="22" t="s">
        <v>133</v>
      </c>
      <c r="C91" s="88">
        <f>26</f>
        <v>26</v>
      </c>
      <c r="D91" s="88">
        <v>17</v>
      </c>
      <c r="E91" s="88">
        <v>20</v>
      </c>
      <c r="F91" s="89">
        <v>44183</v>
      </c>
      <c r="G91" s="200">
        <f t="shared" si="8"/>
        <v>1.1764705882352942</v>
      </c>
      <c r="H91" s="42">
        <f t="shared" si="9"/>
        <v>3</v>
      </c>
    </row>
    <row r="92" spans="1:8" s="56" customFormat="1" ht="15.75">
      <c r="A92" s="18"/>
      <c r="B92" s="22" t="s">
        <v>7</v>
      </c>
      <c r="C92" s="46">
        <f>SUM(C65:C91)</f>
        <v>1328</v>
      </c>
      <c r="D92" s="46">
        <f>SUM(D65:D91)</f>
        <v>1269</v>
      </c>
      <c r="E92" s="46">
        <f>SUM(E65:E91)</f>
        <v>1130</v>
      </c>
      <c r="F92" s="49"/>
      <c r="G92" s="145">
        <f t="shared" si="8"/>
        <v>0.8904649330181245</v>
      </c>
      <c r="H92" s="63">
        <f>E92-D92</f>
        <v>-139</v>
      </c>
    </row>
    <row r="93" spans="1:8" ht="15.75">
      <c r="A93" s="18"/>
      <c r="B93" s="19"/>
      <c r="C93" s="15"/>
      <c r="D93" s="15"/>
      <c r="E93" s="15"/>
      <c r="F93" s="20" t="s">
        <v>22</v>
      </c>
      <c r="G93" s="146"/>
      <c r="H93" s="19" t="s">
        <v>2</v>
      </c>
    </row>
    <row r="94" spans="1:8" ht="16.5" thickBot="1">
      <c r="A94" s="18"/>
      <c r="B94" s="22" t="s">
        <v>15</v>
      </c>
      <c r="C94" s="121">
        <v>2019</v>
      </c>
      <c r="D94" s="121">
        <v>2020</v>
      </c>
      <c r="E94" s="121">
        <v>2021</v>
      </c>
      <c r="F94" s="44" t="s">
        <v>34</v>
      </c>
      <c r="G94" s="147" t="s">
        <v>1</v>
      </c>
      <c r="H94" s="41">
        <v>1</v>
      </c>
    </row>
    <row r="95" spans="1:8" ht="15.75">
      <c r="A95" s="18">
        <v>18</v>
      </c>
      <c r="B95" s="22" t="s">
        <v>80</v>
      </c>
      <c r="C95" s="50">
        <v>277</v>
      </c>
      <c r="D95" s="50">
        <v>221</v>
      </c>
      <c r="E95" s="50">
        <v>238</v>
      </c>
      <c r="F95" s="51">
        <v>44392</v>
      </c>
      <c r="G95" s="116">
        <f aca="true" t="shared" si="10" ref="G95:G109">E95/D95</f>
        <v>1.0769230769230769</v>
      </c>
      <c r="H95" s="34">
        <f aca="true" t="shared" si="11" ref="H95:H108">E95-D95</f>
        <v>17</v>
      </c>
    </row>
    <row r="96" spans="1:8" ht="15.75">
      <c r="A96" s="18">
        <v>24</v>
      </c>
      <c r="B96" s="22" t="s">
        <v>81</v>
      </c>
      <c r="C96" s="23">
        <f>14+11+12+13+16+33+10+14+19+6+4+2+1+3+1+1</f>
        <v>160</v>
      </c>
      <c r="D96" s="23">
        <v>152</v>
      </c>
      <c r="E96" s="23">
        <v>152</v>
      </c>
      <c r="F96" s="80">
        <v>44355</v>
      </c>
      <c r="G96" s="198">
        <f t="shared" si="10"/>
        <v>1</v>
      </c>
      <c r="H96" s="34">
        <f t="shared" si="11"/>
        <v>0</v>
      </c>
    </row>
    <row r="97" spans="1:8" ht="15.75">
      <c r="A97" s="18">
        <v>75</v>
      </c>
      <c r="B97" s="67" t="s">
        <v>165</v>
      </c>
      <c r="C97" s="23"/>
      <c r="D97" s="23">
        <v>1</v>
      </c>
      <c r="E97" s="23">
        <v>1</v>
      </c>
      <c r="F97" s="80">
        <v>44253</v>
      </c>
      <c r="G97" s="198">
        <f t="shared" si="10"/>
        <v>1</v>
      </c>
      <c r="H97" s="178">
        <f t="shared" si="11"/>
        <v>0</v>
      </c>
    </row>
    <row r="98" spans="1:254" ht="15.75">
      <c r="A98" s="18">
        <v>79</v>
      </c>
      <c r="B98" s="22" t="s">
        <v>82</v>
      </c>
      <c r="C98" s="23">
        <f>10+12</f>
        <v>22</v>
      </c>
      <c r="D98" s="23">
        <v>22</v>
      </c>
      <c r="E98" s="23">
        <v>23</v>
      </c>
      <c r="F98" s="24">
        <v>44265</v>
      </c>
      <c r="G98" s="198">
        <f t="shared" si="10"/>
        <v>1.0454545454545454</v>
      </c>
      <c r="H98" s="34">
        <f t="shared" si="11"/>
        <v>1</v>
      </c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</row>
    <row r="99" spans="1:254" ht="15.75">
      <c r="A99" s="18">
        <v>95</v>
      </c>
      <c r="B99" s="67" t="s">
        <v>173</v>
      </c>
      <c r="C99" s="23"/>
      <c r="D99" s="23"/>
      <c r="E99" s="23">
        <v>6</v>
      </c>
      <c r="F99" s="24">
        <v>44281</v>
      </c>
      <c r="G99" s="198"/>
      <c r="H99" s="34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</row>
    <row r="100" spans="1:8" ht="16.5" customHeight="1">
      <c r="A100" s="18">
        <v>106</v>
      </c>
      <c r="B100" s="22" t="s">
        <v>84</v>
      </c>
      <c r="C100" s="23">
        <v>67</v>
      </c>
      <c r="D100" s="23">
        <v>56</v>
      </c>
      <c r="E100" s="23">
        <v>56</v>
      </c>
      <c r="F100" s="24">
        <v>44371</v>
      </c>
      <c r="G100" s="116">
        <f t="shared" si="10"/>
        <v>1</v>
      </c>
      <c r="H100" s="34">
        <f t="shared" si="11"/>
        <v>0</v>
      </c>
    </row>
    <row r="101" spans="1:8" ht="15.75">
      <c r="A101" s="18">
        <v>110</v>
      </c>
      <c r="B101" s="22" t="s">
        <v>85</v>
      </c>
      <c r="C101" s="23">
        <f>22+5+6</f>
        <v>33</v>
      </c>
      <c r="D101" s="23">
        <v>22</v>
      </c>
      <c r="E101" s="23">
        <v>26</v>
      </c>
      <c r="F101" s="24">
        <v>44315</v>
      </c>
      <c r="G101" s="198">
        <f t="shared" si="10"/>
        <v>1.1818181818181819</v>
      </c>
      <c r="H101" s="34">
        <f t="shared" si="11"/>
        <v>4</v>
      </c>
    </row>
    <row r="102" spans="1:8" ht="15.75">
      <c r="A102" s="18">
        <v>114</v>
      </c>
      <c r="B102" s="22" t="s">
        <v>86</v>
      </c>
      <c r="C102" s="23">
        <f>38</f>
        <v>38</v>
      </c>
      <c r="D102" s="23">
        <v>43</v>
      </c>
      <c r="E102" s="23">
        <v>0</v>
      </c>
      <c r="F102" s="24"/>
      <c r="G102" s="116">
        <f t="shared" si="10"/>
        <v>0</v>
      </c>
      <c r="H102" s="34">
        <f t="shared" si="11"/>
        <v>-43</v>
      </c>
    </row>
    <row r="103" spans="1:8" ht="15.75">
      <c r="A103" s="18">
        <v>118</v>
      </c>
      <c r="B103" s="22" t="s">
        <v>87</v>
      </c>
      <c r="C103" s="23">
        <f>19+26</f>
        <v>45</v>
      </c>
      <c r="D103" s="23">
        <v>67</v>
      </c>
      <c r="E103" s="23">
        <v>76</v>
      </c>
      <c r="F103" s="24">
        <v>44371</v>
      </c>
      <c r="G103" s="116">
        <f t="shared" si="10"/>
        <v>1.1343283582089552</v>
      </c>
      <c r="H103" s="34">
        <f t="shared" si="11"/>
        <v>9</v>
      </c>
    </row>
    <row r="104" spans="1:8" ht="15.75">
      <c r="A104" s="18">
        <v>209</v>
      </c>
      <c r="B104" s="22" t="s">
        <v>127</v>
      </c>
      <c r="C104" s="23">
        <f>30</f>
        <v>30</v>
      </c>
      <c r="D104" s="23">
        <v>32</v>
      </c>
      <c r="E104" s="23">
        <v>33</v>
      </c>
      <c r="F104" s="24">
        <v>44217</v>
      </c>
      <c r="G104" s="198">
        <f t="shared" si="10"/>
        <v>1.03125</v>
      </c>
      <c r="H104" s="34">
        <f t="shared" si="11"/>
        <v>1</v>
      </c>
    </row>
    <row r="105" spans="1:8" ht="15.75">
      <c r="A105" s="18">
        <v>225</v>
      </c>
      <c r="B105" s="22" t="s">
        <v>89</v>
      </c>
      <c r="C105" s="23">
        <f>13+14+1</f>
        <v>28</v>
      </c>
      <c r="D105" s="23">
        <v>25</v>
      </c>
      <c r="E105" s="23">
        <v>29</v>
      </c>
      <c r="F105" s="24">
        <v>44386</v>
      </c>
      <c r="G105" s="198">
        <f t="shared" si="10"/>
        <v>1.16</v>
      </c>
      <c r="H105" s="34">
        <f t="shared" si="11"/>
        <v>4</v>
      </c>
    </row>
    <row r="106" spans="1:8" ht="15.75">
      <c r="A106" s="18">
        <v>294</v>
      </c>
      <c r="B106" s="22" t="s">
        <v>29</v>
      </c>
      <c r="C106" s="23">
        <f>22+12+12+4+4+1</f>
        <v>55</v>
      </c>
      <c r="D106" s="23">
        <v>67</v>
      </c>
      <c r="E106" s="23">
        <v>123</v>
      </c>
      <c r="F106" s="24">
        <v>44267</v>
      </c>
      <c r="G106" s="198">
        <f t="shared" si="10"/>
        <v>1.835820895522388</v>
      </c>
      <c r="H106" s="34">
        <f t="shared" si="11"/>
        <v>56</v>
      </c>
    </row>
    <row r="107" spans="1:8" ht="15.75">
      <c r="A107" s="18">
        <v>380</v>
      </c>
      <c r="B107" s="22" t="s">
        <v>91</v>
      </c>
      <c r="C107" s="23">
        <f>9+3</f>
        <v>12</v>
      </c>
      <c r="D107" s="23">
        <v>12</v>
      </c>
      <c r="E107" s="23">
        <v>9</v>
      </c>
      <c r="F107" s="24">
        <v>44147</v>
      </c>
      <c r="G107" s="116">
        <f t="shared" si="10"/>
        <v>0.75</v>
      </c>
      <c r="H107" s="34">
        <f t="shared" si="11"/>
        <v>-3</v>
      </c>
    </row>
    <row r="108" spans="1:8" ht="16.5" thickBot="1">
      <c r="A108" s="18">
        <v>382</v>
      </c>
      <c r="B108" s="22" t="s">
        <v>90</v>
      </c>
      <c r="C108" s="52">
        <f>25+17+35+1+14+6+1+3</f>
        <v>102</v>
      </c>
      <c r="D108" s="52">
        <v>74</v>
      </c>
      <c r="E108" s="52">
        <v>88</v>
      </c>
      <c r="F108" s="53">
        <v>44427</v>
      </c>
      <c r="G108" s="144">
        <f t="shared" si="10"/>
        <v>1.1891891891891893</v>
      </c>
      <c r="H108" s="42">
        <f t="shared" si="11"/>
        <v>14</v>
      </c>
    </row>
    <row r="109" spans="1:8" s="56" customFormat="1" ht="15.75">
      <c r="A109" s="18"/>
      <c r="B109" s="22" t="s">
        <v>7</v>
      </c>
      <c r="C109" s="46">
        <f>SUM(C95:C108)</f>
        <v>869</v>
      </c>
      <c r="D109" s="46">
        <f>SUM(D95:D108)</f>
        <v>794</v>
      </c>
      <c r="E109" s="46">
        <f>SUM(E95:E108)</f>
        <v>860</v>
      </c>
      <c r="F109" s="49"/>
      <c r="G109" s="145">
        <f t="shared" si="10"/>
        <v>1.0831234256926952</v>
      </c>
      <c r="H109" s="63">
        <f>E109-D109</f>
        <v>66</v>
      </c>
    </row>
    <row r="110" spans="1:8" ht="15.75">
      <c r="A110" s="18"/>
      <c r="B110" s="22"/>
      <c r="C110" s="15"/>
      <c r="D110" s="15"/>
      <c r="E110" s="15"/>
      <c r="F110" s="20" t="s">
        <v>22</v>
      </c>
      <c r="G110" s="146"/>
      <c r="H110" s="19" t="s">
        <v>2</v>
      </c>
    </row>
    <row r="111" spans="1:8" ht="16.5" thickBot="1">
      <c r="A111" s="18"/>
      <c r="B111" s="22" t="s">
        <v>16</v>
      </c>
      <c r="C111" s="121">
        <v>2019</v>
      </c>
      <c r="D111" s="121">
        <v>2020</v>
      </c>
      <c r="E111" s="121">
        <v>2021</v>
      </c>
      <c r="F111" s="20" t="s">
        <v>34</v>
      </c>
      <c r="G111" s="147" t="s">
        <v>1</v>
      </c>
      <c r="H111" s="41">
        <v>1</v>
      </c>
    </row>
    <row r="112" spans="1:8" ht="15.75">
      <c r="A112" s="18">
        <v>16</v>
      </c>
      <c r="B112" s="22" t="s">
        <v>92</v>
      </c>
      <c r="C112" s="37">
        <v>36</v>
      </c>
      <c r="D112" s="37">
        <v>37</v>
      </c>
      <c r="E112" s="37">
        <v>37</v>
      </c>
      <c r="F112" s="38">
        <v>44295</v>
      </c>
      <c r="G112" s="198">
        <f aca="true" t="shared" si="12" ref="G112:G118">E112/D112</f>
        <v>1</v>
      </c>
      <c r="H112" s="34">
        <f aca="true" t="shared" si="13" ref="H112:H118">E112-D112</f>
        <v>0</v>
      </c>
    </row>
    <row r="113" spans="1:8" ht="15.75">
      <c r="A113" s="18">
        <v>26</v>
      </c>
      <c r="B113" s="67" t="s">
        <v>135</v>
      </c>
      <c r="C113" s="90">
        <f>1+4+1</f>
        <v>6</v>
      </c>
      <c r="D113" s="90">
        <v>6</v>
      </c>
      <c r="E113" s="90">
        <v>4</v>
      </c>
      <c r="F113" s="91">
        <v>44022</v>
      </c>
      <c r="G113" s="116">
        <f t="shared" si="12"/>
        <v>0.6666666666666666</v>
      </c>
      <c r="H113" s="34">
        <f t="shared" si="13"/>
        <v>-2</v>
      </c>
    </row>
    <row r="114" spans="1:8" ht="15.75">
      <c r="A114" s="18">
        <v>61</v>
      </c>
      <c r="B114" s="67" t="s">
        <v>134</v>
      </c>
      <c r="C114" s="31">
        <v>21</v>
      </c>
      <c r="D114" s="31">
        <v>20</v>
      </c>
      <c r="E114" s="31">
        <v>18</v>
      </c>
      <c r="F114" s="32">
        <v>44330</v>
      </c>
      <c r="G114" s="116">
        <f t="shared" si="12"/>
        <v>0.9</v>
      </c>
      <c r="H114" s="34">
        <f t="shared" si="13"/>
        <v>-2</v>
      </c>
    </row>
    <row r="115" spans="1:8" ht="15.75">
      <c r="A115" s="18">
        <v>78</v>
      </c>
      <c r="B115" s="22" t="s">
        <v>93</v>
      </c>
      <c r="C115" s="31">
        <f>17+6+5+2+3+5+1+2+10+2+3</f>
        <v>56</v>
      </c>
      <c r="D115" s="31">
        <v>58</v>
      </c>
      <c r="E115" s="31">
        <v>62</v>
      </c>
      <c r="F115" s="32">
        <v>44446</v>
      </c>
      <c r="G115" s="198">
        <f t="shared" si="12"/>
        <v>1.0689655172413792</v>
      </c>
      <c r="H115" s="34">
        <f t="shared" si="13"/>
        <v>4</v>
      </c>
    </row>
    <row r="116" spans="1:8" ht="15.75">
      <c r="A116" s="18">
        <v>117</v>
      </c>
      <c r="B116" s="67" t="s">
        <v>136</v>
      </c>
      <c r="C116" s="31">
        <f>2</f>
        <v>2</v>
      </c>
      <c r="D116" s="31">
        <f>3</f>
        <v>3</v>
      </c>
      <c r="E116" s="31">
        <v>3</v>
      </c>
      <c r="F116" s="32">
        <v>44036</v>
      </c>
      <c r="G116" s="198">
        <f t="shared" si="12"/>
        <v>1</v>
      </c>
      <c r="H116" s="111">
        <f t="shared" si="13"/>
        <v>0</v>
      </c>
    </row>
    <row r="117" spans="1:8" ht="16.5" thickBot="1">
      <c r="A117" s="170">
        <v>368</v>
      </c>
      <c r="B117" s="67" t="s">
        <v>159</v>
      </c>
      <c r="C117" s="35"/>
      <c r="D117" s="35">
        <f>7</f>
        <v>7</v>
      </c>
      <c r="E117" s="35">
        <v>13</v>
      </c>
      <c r="F117" s="97">
        <v>44295</v>
      </c>
      <c r="G117" s="200">
        <f t="shared" si="12"/>
        <v>1.8571428571428572</v>
      </c>
      <c r="H117" s="179">
        <f t="shared" si="13"/>
        <v>6</v>
      </c>
    </row>
    <row r="118" spans="1:8" s="56" customFormat="1" ht="15.75">
      <c r="A118" s="18"/>
      <c r="B118" s="22" t="s">
        <v>7</v>
      </c>
      <c r="C118" s="46">
        <f>SUM(C112:C117)</f>
        <v>121</v>
      </c>
      <c r="D118" s="46">
        <f>SUM(D112:D117)</f>
        <v>131</v>
      </c>
      <c r="E118" s="46">
        <f>SUM(E112:E117)</f>
        <v>137</v>
      </c>
      <c r="F118" s="49"/>
      <c r="G118" s="145">
        <f t="shared" si="12"/>
        <v>1.0458015267175573</v>
      </c>
      <c r="H118" s="63">
        <f t="shared" si="13"/>
        <v>6</v>
      </c>
    </row>
    <row r="119" spans="1:10" ht="15.75">
      <c r="A119" s="18"/>
      <c r="B119" s="22"/>
      <c r="C119" s="15"/>
      <c r="D119" s="15"/>
      <c r="E119" s="15"/>
      <c r="F119" s="20" t="s">
        <v>22</v>
      </c>
      <c r="G119" s="146"/>
      <c r="H119" s="19" t="s">
        <v>2</v>
      </c>
      <c r="J119" s="54" t="s">
        <v>0</v>
      </c>
    </row>
    <row r="120" spans="1:8" ht="16.5" thickBot="1">
      <c r="A120" s="18"/>
      <c r="B120" s="22" t="s">
        <v>17</v>
      </c>
      <c r="C120" s="121">
        <v>2019</v>
      </c>
      <c r="D120" s="121">
        <v>2020</v>
      </c>
      <c r="E120" s="121">
        <v>2021</v>
      </c>
      <c r="F120" s="20" t="s">
        <v>34</v>
      </c>
      <c r="G120" s="147" t="s">
        <v>1</v>
      </c>
      <c r="H120" s="41">
        <v>1</v>
      </c>
    </row>
    <row r="121" spans="1:8" ht="15.75">
      <c r="A121" s="18">
        <v>3</v>
      </c>
      <c r="B121" s="22" t="s">
        <v>94</v>
      </c>
      <c r="C121" s="50">
        <f>1+8+3+3+1+6+2+6+1+2+3+1+1+1+1+1+1+1+1</f>
        <v>44</v>
      </c>
      <c r="D121" s="50">
        <v>59</v>
      </c>
      <c r="E121" s="50">
        <v>35</v>
      </c>
      <c r="F121" s="99">
        <v>44460</v>
      </c>
      <c r="G121" s="116">
        <f aca="true" t="shared" si="14" ref="G121:G129">E121/D121</f>
        <v>0.5932203389830508</v>
      </c>
      <c r="H121" s="34">
        <f aca="true" t="shared" si="15" ref="H121:H128">E121-D121</f>
        <v>-24</v>
      </c>
    </row>
    <row r="122" spans="1:8" ht="15.75">
      <c r="A122" s="18">
        <v>4</v>
      </c>
      <c r="B122" s="22" t="s">
        <v>95</v>
      </c>
      <c r="C122" s="23">
        <f>15+2+11+5+11+3+8+2+1</f>
        <v>58</v>
      </c>
      <c r="D122" s="23">
        <v>61</v>
      </c>
      <c r="E122" s="23">
        <v>61</v>
      </c>
      <c r="F122" s="45">
        <v>44377</v>
      </c>
      <c r="G122" s="198">
        <f t="shared" si="14"/>
        <v>1</v>
      </c>
      <c r="H122" s="34">
        <f t="shared" si="15"/>
        <v>0</v>
      </c>
    </row>
    <row r="123" spans="1:8" ht="15.75">
      <c r="A123" s="18">
        <v>6</v>
      </c>
      <c r="B123" s="67" t="s">
        <v>96</v>
      </c>
      <c r="C123" s="23"/>
      <c r="D123" s="23">
        <v>6</v>
      </c>
      <c r="E123" s="23">
        <v>21</v>
      </c>
      <c r="F123" s="45">
        <v>44356</v>
      </c>
      <c r="G123" s="198">
        <f t="shared" si="14"/>
        <v>3.5</v>
      </c>
      <c r="H123" s="34"/>
    </row>
    <row r="124" spans="1:8" ht="15.75">
      <c r="A124" s="18">
        <v>113</v>
      </c>
      <c r="B124" s="22" t="s">
        <v>97</v>
      </c>
      <c r="C124" s="23">
        <f>7+11+8+10+12+12+8+8+7+3+2</f>
        <v>88</v>
      </c>
      <c r="D124" s="23">
        <v>76</v>
      </c>
      <c r="E124" s="23">
        <v>68</v>
      </c>
      <c r="F124" s="24">
        <v>44378</v>
      </c>
      <c r="G124" s="116">
        <f t="shared" si="14"/>
        <v>0.8947368421052632</v>
      </c>
      <c r="H124" s="34">
        <f t="shared" si="15"/>
        <v>-8</v>
      </c>
    </row>
    <row r="125" spans="1:8" ht="15.75">
      <c r="A125" s="18">
        <v>122</v>
      </c>
      <c r="B125" s="22" t="s">
        <v>124</v>
      </c>
      <c r="C125" s="23">
        <f>11+6+3</f>
        <v>20</v>
      </c>
      <c r="D125" s="23">
        <v>24</v>
      </c>
      <c r="E125" s="23">
        <v>12</v>
      </c>
      <c r="F125" s="24">
        <v>44377</v>
      </c>
      <c r="G125" s="116">
        <f t="shared" si="14"/>
        <v>0.5</v>
      </c>
      <c r="H125" s="34">
        <f t="shared" si="15"/>
        <v>-12</v>
      </c>
    </row>
    <row r="126" spans="1:254" ht="15.75">
      <c r="A126" s="18">
        <v>194</v>
      </c>
      <c r="B126" s="22" t="s">
        <v>98</v>
      </c>
      <c r="C126" s="70">
        <f>74+11</f>
        <v>85</v>
      </c>
      <c r="D126" s="70">
        <v>66</v>
      </c>
      <c r="E126" s="70">
        <v>40</v>
      </c>
      <c r="F126" s="24">
        <v>44211</v>
      </c>
      <c r="G126" s="116">
        <f t="shared" si="14"/>
        <v>0.6060606060606061</v>
      </c>
      <c r="H126" s="34">
        <f t="shared" si="15"/>
        <v>-26</v>
      </c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</row>
    <row r="127" spans="1:8" ht="15.75">
      <c r="A127" s="18">
        <v>227</v>
      </c>
      <c r="B127" s="22" t="s">
        <v>100</v>
      </c>
      <c r="C127" s="23">
        <v>86</v>
      </c>
      <c r="D127" s="23">
        <v>89</v>
      </c>
      <c r="E127" s="23">
        <v>81</v>
      </c>
      <c r="F127" s="45">
        <v>44371</v>
      </c>
      <c r="G127" s="116">
        <f>E127/D127</f>
        <v>0.9101123595505618</v>
      </c>
      <c r="H127" s="34">
        <f t="shared" si="15"/>
        <v>-8</v>
      </c>
    </row>
    <row r="128" spans="1:8" ht="16.5" thickBot="1">
      <c r="A128" s="18">
        <v>331</v>
      </c>
      <c r="B128" s="22" t="s">
        <v>101</v>
      </c>
      <c r="C128" s="52">
        <v>62</v>
      </c>
      <c r="D128" s="52">
        <v>65</v>
      </c>
      <c r="E128" s="52">
        <v>29</v>
      </c>
      <c r="F128" s="182">
        <v>44328</v>
      </c>
      <c r="G128" s="144">
        <f t="shared" si="14"/>
        <v>0.4461538461538462</v>
      </c>
      <c r="H128" s="42">
        <f t="shared" si="15"/>
        <v>-36</v>
      </c>
    </row>
    <row r="129" spans="1:8" s="56" customFormat="1" ht="15.75">
      <c r="A129" s="18"/>
      <c r="B129" s="137" t="s">
        <v>7</v>
      </c>
      <c r="C129" s="64">
        <f>SUM(C121:C128)</f>
        <v>443</v>
      </c>
      <c r="D129" s="64">
        <f>SUM(D121:D128)</f>
        <v>446</v>
      </c>
      <c r="E129" s="64">
        <f>SUM(E121:E128)</f>
        <v>347</v>
      </c>
      <c r="F129" s="49"/>
      <c r="G129" s="145">
        <f t="shared" si="14"/>
        <v>0.7780269058295964</v>
      </c>
      <c r="H129" s="63">
        <f>E129-D129</f>
        <v>-99</v>
      </c>
    </row>
    <row r="130" spans="1:8" ht="15.75">
      <c r="A130" s="18"/>
      <c r="B130" s="19"/>
      <c r="C130" s="15"/>
      <c r="D130" s="15"/>
      <c r="E130" s="15"/>
      <c r="F130" s="20" t="s">
        <v>22</v>
      </c>
      <c r="G130" s="146"/>
      <c r="H130" s="19" t="s">
        <v>2</v>
      </c>
    </row>
    <row r="131" spans="1:8" ht="16.5" thickBot="1">
      <c r="A131" s="18"/>
      <c r="B131" s="22" t="s">
        <v>18</v>
      </c>
      <c r="C131" s="121">
        <v>2019</v>
      </c>
      <c r="D131" s="121">
        <v>2020</v>
      </c>
      <c r="E131" s="121">
        <v>2021</v>
      </c>
      <c r="F131" s="20" t="s">
        <v>34</v>
      </c>
      <c r="G131" s="149" t="s">
        <v>1</v>
      </c>
      <c r="H131" s="48">
        <v>1</v>
      </c>
    </row>
    <row r="132" spans="1:8" ht="15.75">
      <c r="A132" s="18">
        <v>1</v>
      </c>
      <c r="B132" s="67" t="s">
        <v>151</v>
      </c>
      <c r="C132" s="138">
        <v>2</v>
      </c>
      <c r="D132" s="138">
        <f>5</f>
        <v>5</v>
      </c>
      <c r="E132" s="138">
        <v>5</v>
      </c>
      <c r="F132" s="134">
        <v>44216</v>
      </c>
      <c r="G132" s="199">
        <f>E132/D132</f>
        <v>1</v>
      </c>
      <c r="H132" s="140">
        <f>E132-D132</f>
        <v>0</v>
      </c>
    </row>
    <row r="133" spans="1:8" ht="15.75">
      <c r="A133" s="170">
        <v>49</v>
      </c>
      <c r="B133" s="67" t="s">
        <v>157</v>
      </c>
      <c r="C133" s="156"/>
      <c r="D133" s="156">
        <f>1+1</f>
        <v>2</v>
      </c>
      <c r="E133" s="156">
        <v>0</v>
      </c>
      <c r="F133" s="157"/>
      <c r="G133" s="116">
        <f>E133/D133</f>
        <v>0</v>
      </c>
      <c r="H133" s="158">
        <f>E133-D133</f>
        <v>-2</v>
      </c>
    </row>
    <row r="134" spans="1:8" ht="15.75">
      <c r="A134" s="18">
        <v>121</v>
      </c>
      <c r="B134" s="22" t="s">
        <v>102</v>
      </c>
      <c r="C134" s="90">
        <f>1+2+1+4+1+1+6+1+1</f>
        <v>18</v>
      </c>
      <c r="D134" s="90">
        <f>4+7+3</f>
        <v>14</v>
      </c>
      <c r="E134" s="90">
        <v>23</v>
      </c>
      <c r="F134" s="91">
        <v>44502</v>
      </c>
      <c r="G134" s="201">
        <f aca="true" t="shared" si="16" ref="G134:G143">E134/D134</f>
        <v>1.6428571428571428</v>
      </c>
      <c r="H134" s="131">
        <f aca="true" t="shared" si="17" ref="H134:H142">E134-D134</f>
        <v>9</v>
      </c>
    </row>
    <row r="135" spans="1:8" ht="15.75">
      <c r="A135" s="170">
        <v>166</v>
      </c>
      <c r="B135" s="67" t="s">
        <v>158</v>
      </c>
      <c r="C135" s="159"/>
      <c r="D135" s="159">
        <v>7</v>
      </c>
      <c r="E135" s="31">
        <v>7</v>
      </c>
      <c r="F135" s="160">
        <v>44298</v>
      </c>
      <c r="G135" s="201">
        <f t="shared" si="16"/>
        <v>1</v>
      </c>
      <c r="H135" s="34">
        <f t="shared" si="17"/>
        <v>0</v>
      </c>
    </row>
    <row r="136" spans="1:8" ht="15.75">
      <c r="A136" s="18">
        <v>222</v>
      </c>
      <c r="B136" s="22" t="s">
        <v>103</v>
      </c>
      <c r="C136" s="100">
        <v>11</v>
      </c>
      <c r="D136" s="100">
        <v>10</v>
      </c>
      <c r="E136" s="100">
        <v>11</v>
      </c>
      <c r="F136" s="58">
        <v>44259</v>
      </c>
      <c r="G136" s="201">
        <f t="shared" si="16"/>
        <v>1.1</v>
      </c>
      <c r="H136" s="34">
        <f t="shared" si="17"/>
        <v>1</v>
      </c>
    </row>
    <row r="137" spans="1:8" ht="15.75">
      <c r="A137" s="18">
        <v>228</v>
      </c>
      <c r="B137" s="67" t="s">
        <v>130</v>
      </c>
      <c r="C137" s="31">
        <f>17+10+2+2+23+6+6+7+2</f>
        <v>75</v>
      </c>
      <c r="D137" s="31">
        <v>62</v>
      </c>
      <c r="E137" s="31">
        <v>35</v>
      </c>
      <c r="F137" s="79">
        <v>44295</v>
      </c>
      <c r="G137" s="116">
        <f t="shared" si="16"/>
        <v>0.5645161290322581</v>
      </c>
      <c r="H137" s="34">
        <f t="shared" si="17"/>
        <v>-27</v>
      </c>
    </row>
    <row r="138" spans="1:9" ht="15.75">
      <c r="A138" s="18">
        <v>302</v>
      </c>
      <c r="B138" s="22" t="s">
        <v>104</v>
      </c>
      <c r="C138" s="100">
        <v>40</v>
      </c>
      <c r="D138" s="100">
        <v>42</v>
      </c>
      <c r="E138" s="100">
        <v>39</v>
      </c>
      <c r="F138" s="24">
        <v>44356</v>
      </c>
      <c r="G138" s="116">
        <f t="shared" si="16"/>
        <v>0.9285714285714286</v>
      </c>
      <c r="H138" s="34">
        <f t="shared" si="17"/>
        <v>-3</v>
      </c>
      <c r="I138" s="29"/>
    </row>
    <row r="139" spans="1:8" ht="15.75">
      <c r="A139" s="18">
        <v>303</v>
      </c>
      <c r="B139" s="22" t="s">
        <v>30</v>
      </c>
      <c r="C139" s="100">
        <v>19</v>
      </c>
      <c r="D139" s="100">
        <f>18+1</f>
        <v>19</v>
      </c>
      <c r="E139" s="100">
        <v>21</v>
      </c>
      <c r="F139" s="24">
        <v>44281</v>
      </c>
      <c r="G139" s="198">
        <f t="shared" si="16"/>
        <v>1.105263157894737</v>
      </c>
      <c r="H139" s="34">
        <f t="shared" si="17"/>
        <v>2</v>
      </c>
    </row>
    <row r="140" spans="1:8" ht="15.75">
      <c r="A140" s="18">
        <v>311</v>
      </c>
      <c r="B140" s="22" t="s">
        <v>105</v>
      </c>
      <c r="C140" s="117">
        <f>28</f>
        <v>28</v>
      </c>
      <c r="D140" s="117">
        <f>29</f>
        <v>29</v>
      </c>
      <c r="E140" s="117">
        <v>30</v>
      </c>
      <c r="F140" s="24">
        <v>44295</v>
      </c>
      <c r="G140" s="198">
        <f t="shared" si="16"/>
        <v>1.0344827586206897</v>
      </c>
      <c r="H140" s="34">
        <f t="shared" si="17"/>
        <v>1</v>
      </c>
    </row>
    <row r="141" spans="1:8" ht="15.75">
      <c r="A141" s="18">
        <v>312</v>
      </c>
      <c r="B141" s="22" t="s">
        <v>106</v>
      </c>
      <c r="C141" s="101">
        <f>4+8+5+3+2+1+1+2+1</f>
        <v>27</v>
      </c>
      <c r="D141" s="101">
        <v>31</v>
      </c>
      <c r="E141" s="101">
        <v>32</v>
      </c>
      <c r="F141" s="24">
        <v>44355</v>
      </c>
      <c r="G141" s="198">
        <f t="shared" si="16"/>
        <v>1.032258064516129</v>
      </c>
      <c r="H141" s="34">
        <f t="shared" si="17"/>
        <v>1</v>
      </c>
    </row>
    <row r="142" spans="1:8" ht="16.5" thickBot="1">
      <c r="A142" s="18">
        <v>405</v>
      </c>
      <c r="B142" s="22" t="s">
        <v>122</v>
      </c>
      <c r="C142" s="52">
        <f>30</f>
        <v>30</v>
      </c>
      <c r="D142" s="52">
        <v>27</v>
      </c>
      <c r="E142" s="52">
        <v>24</v>
      </c>
      <c r="F142" s="53">
        <v>44348</v>
      </c>
      <c r="G142" s="144">
        <f t="shared" si="16"/>
        <v>0.8888888888888888</v>
      </c>
      <c r="H142" s="42">
        <f t="shared" si="17"/>
        <v>-3</v>
      </c>
    </row>
    <row r="143" spans="1:8" s="56" customFormat="1" ht="15.75">
      <c r="A143" s="18"/>
      <c r="B143" s="22" t="s">
        <v>7</v>
      </c>
      <c r="C143" s="46">
        <f>SUM(C132:C142)</f>
        <v>250</v>
      </c>
      <c r="D143" s="46">
        <f>SUM(D132:D142)</f>
        <v>248</v>
      </c>
      <c r="E143" s="46">
        <f>SUM(E132:E142)</f>
        <v>227</v>
      </c>
      <c r="F143" s="49"/>
      <c r="G143" s="145">
        <f t="shared" si="16"/>
        <v>0.9153225806451613</v>
      </c>
      <c r="H143" s="63">
        <f>E143-D143</f>
        <v>-21</v>
      </c>
    </row>
    <row r="144" spans="1:8" ht="15.75">
      <c r="A144" s="18"/>
      <c r="B144" s="22"/>
      <c r="C144" s="15"/>
      <c r="D144" s="15"/>
      <c r="E144" s="15"/>
      <c r="F144" s="20" t="s">
        <v>22</v>
      </c>
      <c r="G144" s="146"/>
      <c r="H144" s="19" t="s">
        <v>2</v>
      </c>
    </row>
    <row r="145" spans="1:8" ht="16.5" thickBot="1">
      <c r="A145" s="18"/>
      <c r="B145" s="22" t="s">
        <v>19</v>
      </c>
      <c r="C145" s="121">
        <v>2019</v>
      </c>
      <c r="D145" s="121">
        <v>2020</v>
      </c>
      <c r="E145" s="121">
        <v>2021</v>
      </c>
      <c r="F145" s="44" t="s">
        <v>34</v>
      </c>
      <c r="G145" s="147" t="s">
        <v>1</v>
      </c>
      <c r="H145" s="41">
        <v>1</v>
      </c>
    </row>
    <row r="146" spans="1:8" ht="15.75">
      <c r="A146" s="18">
        <v>22</v>
      </c>
      <c r="B146" s="22" t="s">
        <v>108</v>
      </c>
      <c r="C146" s="68">
        <v>54</v>
      </c>
      <c r="D146" s="68">
        <v>46</v>
      </c>
      <c r="E146" s="68">
        <v>77</v>
      </c>
      <c r="F146" s="58">
        <v>44337</v>
      </c>
      <c r="G146" s="198">
        <f aca="true" t="shared" si="18" ref="G146:G159">E146/D146</f>
        <v>1.673913043478261</v>
      </c>
      <c r="H146" s="34">
        <f aca="true" t="shared" si="19" ref="H146:H158">E146-D146</f>
        <v>31</v>
      </c>
    </row>
    <row r="147" spans="1:254" ht="15.75">
      <c r="A147" s="18">
        <v>40</v>
      </c>
      <c r="B147" s="22" t="s">
        <v>109</v>
      </c>
      <c r="C147" s="105">
        <v>214</v>
      </c>
      <c r="D147" s="105">
        <v>220</v>
      </c>
      <c r="E147" s="105">
        <v>225</v>
      </c>
      <c r="F147" s="80">
        <v>44406</v>
      </c>
      <c r="G147" s="198">
        <f t="shared" si="18"/>
        <v>1.0227272727272727</v>
      </c>
      <c r="H147" s="34">
        <f t="shared" si="19"/>
        <v>5</v>
      </c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3"/>
      <c r="DQ147" s="43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</row>
    <row r="148" spans="1:8" ht="15.75">
      <c r="A148" s="18">
        <v>64</v>
      </c>
      <c r="B148" s="22" t="s">
        <v>110</v>
      </c>
      <c r="C148" s="110">
        <v>32</v>
      </c>
      <c r="D148" s="110">
        <v>33</v>
      </c>
      <c r="E148" s="110">
        <v>31</v>
      </c>
      <c r="F148" s="24">
        <v>44356</v>
      </c>
      <c r="G148" s="116">
        <f t="shared" si="18"/>
        <v>0.9393939393939394</v>
      </c>
      <c r="H148" s="34">
        <f t="shared" si="19"/>
        <v>-2</v>
      </c>
    </row>
    <row r="149" spans="1:8" ht="15.75">
      <c r="A149" s="18">
        <v>82</v>
      </c>
      <c r="B149" s="22" t="s">
        <v>31</v>
      </c>
      <c r="C149" s="105">
        <v>65</v>
      </c>
      <c r="D149" s="105">
        <v>53</v>
      </c>
      <c r="E149" s="105">
        <v>45</v>
      </c>
      <c r="F149" s="24">
        <v>44509</v>
      </c>
      <c r="G149" s="116">
        <f t="shared" si="18"/>
        <v>0.8490566037735849</v>
      </c>
      <c r="H149" s="34">
        <f t="shared" si="19"/>
        <v>-8</v>
      </c>
    </row>
    <row r="150" spans="1:8" ht="15.75">
      <c r="A150" s="18">
        <v>88</v>
      </c>
      <c r="B150" s="22" t="s">
        <v>111</v>
      </c>
      <c r="C150" s="105">
        <f>6+6</f>
        <v>12</v>
      </c>
      <c r="D150" s="105">
        <f>12</f>
        <v>12</v>
      </c>
      <c r="E150" s="105">
        <v>12</v>
      </c>
      <c r="F150" s="45">
        <v>44057</v>
      </c>
      <c r="G150" s="198">
        <f t="shared" si="18"/>
        <v>1</v>
      </c>
      <c r="H150" s="34">
        <f t="shared" si="19"/>
        <v>0</v>
      </c>
    </row>
    <row r="151" spans="1:8" ht="15.75">
      <c r="A151" s="18">
        <v>112</v>
      </c>
      <c r="B151" s="22" t="s">
        <v>112</v>
      </c>
      <c r="C151" s="105">
        <f>22+13+2+1</f>
        <v>38</v>
      </c>
      <c r="D151" s="105">
        <v>31</v>
      </c>
      <c r="E151" s="105">
        <v>31</v>
      </c>
      <c r="F151" s="24">
        <v>44265</v>
      </c>
      <c r="G151" s="198">
        <f t="shared" si="18"/>
        <v>1</v>
      </c>
      <c r="H151" s="34">
        <f t="shared" si="19"/>
        <v>0</v>
      </c>
    </row>
    <row r="152" spans="1:8" ht="15.75">
      <c r="A152" s="18">
        <v>144</v>
      </c>
      <c r="B152" s="67" t="s">
        <v>149</v>
      </c>
      <c r="C152" s="105">
        <f>8</f>
        <v>8</v>
      </c>
      <c r="D152" s="105">
        <v>9</v>
      </c>
      <c r="E152" s="105">
        <v>10</v>
      </c>
      <c r="F152" s="24">
        <v>44183</v>
      </c>
      <c r="G152" s="198">
        <f t="shared" si="18"/>
        <v>1.1111111111111112</v>
      </c>
      <c r="H152" s="34">
        <f t="shared" si="19"/>
        <v>1</v>
      </c>
    </row>
    <row r="153" spans="1:8" ht="15.75">
      <c r="A153" s="18">
        <v>149</v>
      </c>
      <c r="B153" s="22" t="s">
        <v>32</v>
      </c>
      <c r="C153" s="105">
        <f>16+16+7+6</f>
        <v>45</v>
      </c>
      <c r="D153" s="105">
        <v>42</v>
      </c>
      <c r="E153" s="105">
        <v>43</v>
      </c>
      <c r="F153" s="24">
        <v>44335</v>
      </c>
      <c r="G153" s="198">
        <f t="shared" si="18"/>
        <v>1.0238095238095237</v>
      </c>
      <c r="H153" s="34">
        <f t="shared" si="19"/>
        <v>1</v>
      </c>
    </row>
    <row r="154" spans="1:8" ht="15.75">
      <c r="A154" s="18">
        <v>188</v>
      </c>
      <c r="B154" s="22" t="s">
        <v>113</v>
      </c>
      <c r="C154" s="105">
        <f>23+72+24+16+23+6+7</f>
        <v>171</v>
      </c>
      <c r="D154" s="105">
        <v>151</v>
      </c>
      <c r="E154" s="105">
        <v>100</v>
      </c>
      <c r="F154" s="24">
        <v>44328</v>
      </c>
      <c r="G154" s="116">
        <f t="shared" si="18"/>
        <v>0.6622516556291391</v>
      </c>
      <c r="H154" s="34">
        <f t="shared" si="19"/>
        <v>-51</v>
      </c>
    </row>
    <row r="155" spans="1:8" ht="15.75">
      <c r="A155" s="18">
        <v>192</v>
      </c>
      <c r="B155" s="22" t="s">
        <v>114</v>
      </c>
      <c r="C155" s="105">
        <f>1</f>
        <v>1</v>
      </c>
      <c r="D155" s="105">
        <v>2</v>
      </c>
      <c r="E155" s="105">
        <v>4</v>
      </c>
      <c r="F155" s="24">
        <v>44315</v>
      </c>
      <c r="G155" s="198">
        <f t="shared" si="18"/>
        <v>2</v>
      </c>
      <c r="H155" s="34">
        <f t="shared" si="19"/>
        <v>2</v>
      </c>
    </row>
    <row r="156" spans="1:8" ht="15.75">
      <c r="A156" s="18">
        <v>220</v>
      </c>
      <c r="B156" s="22" t="s">
        <v>115</v>
      </c>
      <c r="C156" s="105">
        <f>7</f>
        <v>7</v>
      </c>
      <c r="D156" s="105">
        <v>7</v>
      </c>
      <c r="E156" s="105">
        <v>7</v>
      </c>
      <c r="F156" s="24">
        <v>44036</v>
      </c>
      <c r="G156" s="198">
        <f t="shared" si="18"/>
        <v>1</v>
      </c>
      <c r="H156" s="34">
        <f t="shared" si="19"/>
        <v>0</v>
      </c>
    </row>
    <row r="157" spans="1:8" ht="15.75">
      <c r="A157" s="18">
        <v>226</v>
      </c>
      <c r="B157" s="22" t="s">
        <v>116</v>
      </c>
      <c r="C157" s="105">
        <f>15+1+8</f>
        <v>24</v>
      </c>
      <c r="D157" s="105">
        <v>19</v>
      </c>
      <c r="E157" s="105">
        <v>12</v>
      </c>
      <c r="F157" s="24">
        <v>44099</v>
      </c>
      <c r="G157" s="116">
        <f t="shared" si="18"/>
        <v>0.631578947368421</v>
      </c>
      <c r="H157" s="34">
        <f t="shared" si="19"/>
        <v>-7</v>
      </c>
    </row>
    <row r="158" spans="1:8" ht="15.75">
      <c r="A158" s="18">
        <v>257</v>
      </c>
      <c r="B158" s="22" t="s">
        <v>117</v>
      </c>
      <c r="C158" s="183">
        <f>4+2+6</f>
        <v>12</v>
      </c>
      <c r="D158" s="183">
        <v>12</v>
      </c>
      <c r="E158" s="183">
        <v>11</v>
      </c>
      <c r="F158" s="184">
        <v>44071</v>
      </c>
      <c r="G158" s="116">
        <f t="shared" si="18"/>
        <v>0.9166666666666666</v>
      </c>
      <c r="H158" s="34">
        <f t="shared" si="19"/>
        <v>-1</v>
      </c>
    </row>
    <row r="159" spans="1:8" s="56" customFormat="1" ht="15.75">
      <c r="A159" s="18" t="s">
        <v>0</v>
      </c>
      <c r="B159" s="22" t="s">
        <v>7</v>
      </c>
      <c r="C159" s="46">
        <f>SUM(C146:C158)</f>
        <v>683</v>
      </c>
      <c r="D159" s="46">
        <f>SUM(D146:D158)</f>
        <v>637</v>
      </c>
      <c r="E159" s="46">
        <f>SUM(E146:E158)</f>
        <v>608</v>
      </c>
      <c r="F159" s="49"/>
      <c r="G159" s="145">
        <f t="shared" si="18"/>
        <v>0.9544740973312402</v>
      </c>
      <c r="H159" s="63">
        <f>E159-D159</f>
        <v>-29</v>
      </c>
    </row>
    <row r="160" spans="1:8" ht="15.75">
      <c r="A160" s="18"/>
      <c r="B160" s="22"/>
      <c r="C160" s="19"/>
      <c r="D160" s="19"/>
      <c r="E160" s="19"/>
      <c r="F160" s="20" t="s">
        <v>0</v>
      </c>
      <c r="G160" s="148"/>
      <c r="H160" s="13" t="s">
        <v>0</v>
      </c>
    </row>
    <row r="161" spans="1:8" ht="15.75">
      <c r="A161" s="18"/>
      <c r="B161" s="66" t="s">
        <v>170</v>
      </c>
      <c r="C161" s="15"/>
      <c r="D161" s="15"/>
      <c r="E161" s="15"/>
      <c r="F161" s="16"/>
      <c r="G161" s="146"/>
      <c r="H161" s="13"/>
    </row>
    <row r="162" spans="1:8" ht="16.5" thickBot="1">
      <c r="A162" s="18"/>
      <c r="B162" s="19" t="s">
        <v>33</v>
      </c>
      <c r="C162" s="121">
        <v>2019</v>
      </c>
      <c r="D162" s="121">
        <v>2020</v>
      </c>
      <c r="E162" s="121">
        <v>2021</v>
      </c>
      <c r="F162" s="20" t="s">
        <v>1</v>
      </c>
      <c r="G162" s="150">
        <v>1</v>
      </c>
      <c r="H162" s="13"/>
    </row>
    <row r="163" spans="1:8" ht="15.75">
      <c r="A163" s="18"/>
      <c r="B163" s="19">
        <v>1</v>
      </c>
      <c r="C163" s="50">
        <f>SUM(C12)</f>
        <v>191</v>
      </c>
      <c r="D163" s="50">
        <f>SUM(D12)</f>
        <v>181</v>
      </c>
      <c r="E163" s="50">
        <f>SUM(E12)</f>
        <v>180</v>
      </c>
      <c r="F163" s="214">
        <f>E163/D163</f>
        <v>0.994475138121547</v>
      </c>
      <c r="G163" s="151">
        <f>E163-D163</f>
        <v>-1</v>
      </c>
      <c r="H163" s="30"/>
    </row>
    <row r="164" spans="1:8" ht="15.75">
      <c r="A164" s="18"/>
      <c r="B164" s="19">
        <v>2</v>
      </c>
      <c r="C164" s="23">
        <f>SUM(C24)</f>
        <v>292</v>
      </c>
      <c r="D164" s="23">
        <f>SUM(D24)</f>
        <v>275</v>
      </c>
      <c r="E164" s="23">
        <f>SUM(E24)</f>
        <v>257</v>
      </c>
      <c r="F164" s="197">
        <f aca="true" t="shared" si="20" ref="F164:F174">E164/D164</f>
        <v>0.9345454545454546</v>
      </c>
      <c r="G164" s="151">
        <f aca="true" t="shared" si="21" ref="G164:G174">E164-D164</f>
        <v>-18</v>
      </c>
      <c r="H164" s="30"/>
    </row>
    <row r="165" spans="1:8" ht="15.75">
      <c r="A165" s="18"/>
      <c r="B165" s="19">
        <v>3</v>
      </c>
      <c r="C165" s="23">
        <f>SUM(C37)</f>
        <v>443</v>
      </c>
      <c r="D165" s="23">
        <f>SUM(D37)</f>
        <v>372</v>
      </c>
      <c r="E165" s="23">
        <f>SUM(E37)</f>
        <v>310</v>
      </c>
      <c r="F165" s="197">
        <f t="shared" si="20"/>
        <v>0.8333333333333334</v>
      </c>
      <c r="G165" s="151">
        <f t="shared" si="21"/>
        <v>-62</v>
      </c>
      <c r="H165" s="30"/>
    </row>
    <row r="166" spans="1:8" ht="15.75">
      <c r="A166" s="18"/>
      <c r="B166" s="19">
        <v>4</v>
      </c>
      <c r="C166" s="23">
        <f>SUM(C62)</f>
        <v>990</v>
      </c>
      <c r="D166" s="23">
        <f>SUM(D62)</f>
        <v>998</v>
      </c>
      <c r="E166" s="23">
        <f>SUM(E62)</f>
        <v>920</v>
      </c>
      <c r="F166" s="197">
        <f t="shared" si="20"/>
        <v>0.9218436873747495</v>
      </c>
      <c r="G166" s="151">
        <f t="shared" si="21"/>
        <v>-78</v>
      </c>
      <c r="H166" s="30"/>
    </row>
    <row r="167" spans="1:8" ht="15.75">
      <c r="A167" s="18"/>
      <c r="B167" s="19">
        <v>5</v>
      </c>
      <c r="C167" s="23">
        <f>SUM(C92)</f>
        <v>1328</v>
      </c>
      <c r="D167" s="23">
        <f>SUM(D92)</f>
        <v>1269</v>
      </c>
      <c r="E167" s="23">
        <f>SUM(E92)</f>
        <v>1130</v>
      </c>
      <c r="F167" s="197">
        <f t="shared" si="20"/>
        <v>0.8904649330181245</v>
      </c>
      <c r="G167" s="151">
        <f t="shared" si="21"/>
        <v>-139</v>
      </c>
      <c r="H167" s="30"/>
    </row>
    <row r="168" spans="1:8" ht="15.75">
      <c r="A168" s="18"/>
      <c r="B168" s="19">
        <v>6</v>
      </c>
      <c r="C168" s="23">
        <f>SUM(C109)</f>
        <v>869</v>
      </c>
      <c r="D168" s="23">
        <f>SUM(D109)</f>
        <v>794</v>
      </c>
      <c r="E168" s="23">
        <f>SUM(E109)</f>
        <v>860</v>
      </c>
      <c r="F168" s="197">
        <f t="shared" si="20"/>
        <v>1.0831234256926952</v>
      </c>
      <c r="G168" s="151">
        <f t="shared" si="21"/>
        <v>66</v>
      </c>
      <c r="H168" s="30"/>
    </row>
    <row r="169" spans="1:8" ht="15.75">
      <c r="A169" s="18"/>
      <c r="B169" s="19">
        <v>7</v>
      </c>
      <c r="C169" s="23">
        <f>SUM(C118)</f>
        <v>121</v>
      </c>
      <c r="D169" s="23">
        <f>SUM(D118)</f>
        <v>131</v>
      </c>
      <c r="E169" s="23">
        <f>SUM(E118)</f>
        <v>137</v>
      </c>
      <c r="F169" s="213">
        <f t="shared" si="20"/>
        <v>1.0458015267175573</v>
      </c>
      <c r="G169" s="151">
        <f t="shared" si="21"/>
        <v>6</v>
      </c>
      <c r="H169" s="30"/>
    </row>
    <row r="170" spans="1:8" ht="15.75">
      <c r="A170" s="18"/>
      <c r="B170" s="19">
        <v>8</v>
      </c>
      <c r="C170" s="23">
        <f>SUM(C129)</f>
        <v>443</v>
      </c>
      <c r="D170" s="23">
        <f>SUM(D129)</f>
        <v>446</v>
      </c>
      <c r="E170" s="23">
        <f>SUM(E129)</f>
        <v>347</v>
      </c>
      <c r="F170" s="197">
        <f t="shared" si="20"/>
        <v>0.7780269058295964</v>
      </c>
      <c r="G170" s="151">
        <f t="shared" si="21"/>
        <v>-99</v>
      </c>
      <c r="H170" s="30"/>
    </row>
    <row r="171" spans="1:8" ht="15.75">
      <c r="A171" s="18"/>
      <c r="B171" s="19">
        <v>9</v>
      </c>
      <c r="C171" s="71">
        <f>SUM(C143)</f>
        <v>250</v>
      </c>
      <c r="D171" s="71">
        <f>SUM(D143)</f>
        <v>248</v>
      </c>
      <c r="E171" s="71">
        <f>SUM(E143)</f>
        <v>227</v>
      </c>
      <c r="F171" s="197">
        <f t="shared" si="20"/>
        <v>0.9153225806451613</v>
      </c>
      <c r="G171" s="151">
        <f t="shared" si="21"/>
        <v>-21</v>
      </c>
      <c r="H171" s="30"/>
    </row>
    <row r="172" spans="1:8" ht="15.75">
      <c r="A172" s="18"/>
      <c r="B172" s="19">
        <v>10</v>
      </c>
      <c r="C172" s="164">
        <f>SUM(C159)</f>
        <v>683</v>
      </c>
      <c r="D172" s="164">
        <f>SUM(D159)</f>
        <v>637</v>
      </c>
      <c r="E172" s="164">
        <f>SUM(E159)</f>
        <v>608</v>
      </c>
      <c r="F172" s="212">
        <f t="shared" si="20"/>
        <v>0.9544740973312402</v>
      </c>
      <c r="G172" s="166">
        <f t="shared" si="21"/>
        <v>-29</v>
      </c>
      <c r="H172" s="30"/>
    </row>
    <row r="173" spans="1:8" ht="15.75">
      <c r="A173" s="18"/>
      <c r="B173" s="5" t="s">
        <v>161</v>
      </c>
      <c r="C173" s="203">
        <v>14</v>
      </c>
      <c r="D173" s="203">
        <v>9</v>
      </c>
      <c r="E173" s="203">
        <v>10</v>
      </c>
      <c r="F173" s="204">
        <f>E173/D173</f>
        <v>1.1111111111111112</v>
      </c>
      <c r="G173" s="205">
        <f>E173-D173</f>
        <v>1</v>
      </c>
      <c r="H173" s="30"/>
    </row>
    <row r="174" spans="1:15" s="191" customFormat="1" ht="18">
      <c r="A174" s="18"/>
      <c r="B174" s="22" t="s">
        <v>20</v>
      </c>
      <c r="C174" s="206">
        <f>SUM(C163:C173)</f>
        <v>5624</v>
      </c>
      <c r="D174" s="206">
        <f>SUM(D163:D173)</f>
        <v>5360</v>
      </c>
      <c r="E174" s="206">
        <f>SUM(E163:E173)</f>
        <v>4986</v>
      </c>
      <c r="F174" s="208">
        <f t="shared" si="20"/>
        <v>0.9302238805970149</v>
      </c>
      <c r="G174" s="207">
        <f t="shared" si="21"/>
        <v>-374</v>
      </c>
      <c r="H174" s="9"/>
      <c r="I174" s="54"/>
      <c r="J174" s="22"/>
      <c r="K174" s="2"/>
      <c r="L174" s="2"/>
      <c r="M174" s="2"/>
      <c r="N174" s="11"/>
      <c r="O174" s="148"/>
    </row>
    <row r="175" spans="1:9" s="191" customFormat="1" ht="18">
      <c r="A175" s="18"/>
      <c r="B175" s="22"/>
      <c r="C175" s="2"/>
      <c r="D175" s="2"/>
      <c r="E175" s="2"/>
      <c r="F175" s="11"/>
      <c r="G175" s="148"/>
      <c r="H175" s="10"/>
      <c r="I175" s="54"/>
    </row>
    <row r="176" spans="1:8" s="56" customFormat="1" ht="18">
      <c r="A176" s="18"/>
      <c r="B176" s="209" t="s">
        <v>172</v>
      </c>
      <c r="C176" s="210"/>
      <c r="D176" s="210">
        <v>5593</v>
      </c>
      <c r="E176" s="210">
        <v>4986</v>
      </c>
      <c r="F176" s="211">
        <f>SUM(E176/D176)</f>
        <v>0.8914714822099052</v>
      </c>
      <c r="G176" s="148"/>
      <c r="H176" s="10"/>
    </row>
    <row r="177" spans="1:8" s="56" customFormat="1" ht="15.75">
      <c r="A177" s="18"/>
      <c r="B177" s="22"/>
      <c r="C177" s="2"/>
      <c r="D177" s="2"/>
      <c r="E177" s="2"/>
      <c r="F177" s="11"/>
      <c r="G177" s="148"/>
      <c r="H177" s="10"/>
    </row>
    <row r="178" spans="1:8" s="194" customFormat="1" ht="23.25">
      <c r="A178" s="18"/>
      <c r="B178" s="192" t="str">
        <f>B4</f>
        <v>                                               Next Target Date: 7/29/2021    105%</v>
      </c>
      <c r="C178" s="195"/>
      <c r="D178" s="196"/>
      <c r="E178" s="185"/>
      <c r="G178" s="193"/>
      <c r="H178" s="185"/>
    </row>
    <row r="179" spans="1:8" s="56" customFormat="1" ht="15.75">
      <c r="A179" s="18"/>
      <c r="B179" s="67"/>
      <c r="C179" s="46"/>
      <c r="D179" s="46"/>
      <c r="E179" s="46"/>
      <c r="F179" s="62"/>
      <c r="G179" s="153"/>
      <c r="H179" s="18"/>
    </row>
    <row r="180" spans="1:8" ht="15.75">
      <c r="A180" s="18"/>
      <c r="B180" s="73" t="s">
        <v>129</v>
      </c>
      <c r="C180" s="54"/>
      <c r="D180" s="54"/>
      <c r="E180" s="54"/>
      <c r="F180" s="54"/>
      <c r="G180" s="54"/>
      <c r="H180" s="73"/>
    </row>
    <row r="181" spans="1:8" ht="18">
      <c r="A181" s="65"/>
      <c r="B181" s="323" t="s">
        <v>167</v>
      </c>
      <c r="C181" s="323"/>
      <c r="D181" s="323"/>
      <c r="E181" s="323"/>
      <c r="F181" s="323"/>
      <c r="G181" s="1" t="s">
        <v>0</v>
      </c>
      <c r="H181" s="1" t="s">
        <v>0</v>
      </c>
    </row>
    <row r="182" spans="1:8" ht="18">
      <c r="A182" s="65"/>
      <c r="B182" s="73" t="s">
        <v>168</v>
      </c>
      <c r="C182" s="74"/>
      <c r="D182" s="74"/>
      <c r="E182" s="74"/>
      <c r="F182" s="76"/>
      <c r="G182" s="75"/>
      <c r="H182" s="77"/>
    </row>
    <row r="183" spans="1:8" ht="15.75">
      <c r="A183" s="18"/>
      <c r="B183" s="1" t="s">
        <v>0</v>
      </c>
      <c r="C183" s="74"/>
      <c r="D183" s="74"/>
      <c r="E183" s="74"/>
      <c r="F183" s="78"/>
      <c r="G183" s="75"/>
      <c r="H183" s="75"/>
    </row>
    <row r="184" spans="1:8" ht="15.75">
      <c r="A184" s="18"/>
      <c r="B184" s="19"/>
      <c r="C184" s="2"/>
      <c r="D184" s="2"/>
      <c r="E184" s="2"/>
      <c r="F184" s="8"/>
      <c r="G184" s="146"/>
      <c r="H184" s="7"/>
    </row>
    <row r="185" spans="1:8" ht="15.75">
      <c r="A185" s="18"/>
      <c r="B185" s="19"/>
      <c r="C185" s="2"/>
      <c r="D185" s="2"/>
      <c r="E185" s="2"/>
      <c r="F185" s="8"/>
      <c r="G185" s="146"/>
      <c r="H185" s="7"/>
    </row>
    <row r="186" spans="1:8" ht="15.75">
      <c r="A186" s="18"/>
      <c r="B186" s="22"/>
      <c r="C186" s="5"/>
      <c r="D186" s="5"/>
      <c r="E186" s="5"/>
      <c r="F186" s="8"/>
      <c r="G186" s="146"/>
      <c r="H186" s="9"/>
    </row>
    <row r="187" spans="1:8" ht="15.75">
      <c r="A187" s="18"/>
      <c r="B187" s="22"/>
      <c r="C187" s="2"/>
      <c r="D187" s="2"/>
      <c r="E187" s="2"/>
      <c r="F187" s="11"/>
      <c r="G187" s="148"/>
      <c r="H187" s="10"/>
    </row>
    <row r="188" spans="1:8" ht="15.75">
      <c r="A188" s="18"/>
      <c r="B188" s="22"/>
      <c r="C188" s="2"/>
      <c r="D188" s="2"/>
      <c r="E188" s="2"/>
      <c r="F188" s="11"/>
      <c r="G188" s="148"/>
      <c r="H188" s="10"/>
    </row>
    <row r="189" spans="1:8" ht="15.75">
      <c r="A189" s="18"/>
      <c r="B189" s="22"/>
      <c r="C189" s="2"/>
      <c r="D189" s="2"/>
      <c r="E189" s="2"/>
      <c r="F189" s="11"/>
      <c r="G189" s="148"/>
      <c r="H189" s="10"/>
    </row>
    <row r="190" spans="1:8" ht="15.75">
      <c r="A190" s="18"/>
      <c r="B190" s="22"/>
      <c r="C190" s="2"/>
      <c r="D190" s="2"/>
      <c r="E190" s="2"/>
      <c r="F190" s="11"/>
      <c r="G190" s="148"/>
      <c r="H190" s="10"/>
    </row>
    <row r="191" spans="1:8" ht="15.75">
      <c r="A191" s="18"/>
      <c r="B191" s="22"/>
      <c r="C191" s="2"/>
      <c r="D191" s="2"/>
      <c r="E191" s="2"/>
      <c r="F191" s="11"/>
      <c r="G191" s="148"/>
      <c r="H191" s="10"/>
    </row>
    <row r="192" spans="1:8" ht="15.75">
      <c r="A192" s="18"/>
      <c r="B192" s="22"/>
      <c r="C192" s="2"/>
      <c r="D192" s="2"/>
      <c r="E192" s="2"/>
      <c r="F192" s="11"/>
      <c r="G192" s="148"/>
      <c r="H192" s="10"/>
    </row>
    <row r="193" spans="1:8" ht="15.75">
      <c r="A193" s="18"/>
      <c r="B193" s="22"/>
      <c r="C193" s="2"/>
      <c r="D193" s="2"/>
      <c r="E193" s="2"/>
      <c r="F193" s="11"/>
      <c r="G193" s="148"/>
      <c r="H193" s="10"/>
    </row>
    <row r="194" spans="1:8" ht="15.75">
      <c r="A194" s="18"/>
      <c r="B194" s="22"/>
      <c r="C194" s="2"/>
      <c r="D194" s="2"/>
      <c r="E194" s="2"/>
      <c r="F194" s="11"/>
      <c r="G194" s="148"/>
      <c r="H194" s="10"/>
    </row>
    <row r="195" spans="1:8" ht="15.75">
      <c r="A195" s="18"/>
      <c r="B195" s="22"/>
      <c r="C195" s="2"/>
      <c r="D195" s="2"/>
      <c r="E195" s="2"/>
      <c r="F195" s="11"/>
      <c r="G195" s="148"/>
      <c r="H195" s="10"/>
    </row>
    <row r="196" spans="1:8" ht="15.75">
      <c r="A196" s="18"/>
      <c r="B196" s="22"/>
      <c r="C196" s="2"/>
      <c r="D196" s="2"/>
      <c r="E196" s="2"/>
      <c r="F196" s="11"/>
      <c r="G196" s="148"/>
      <c r="H196" s="10"/>
    </row>
    <row r="197" spans="1:8" ht="15.75">
      <c r="A197" s="18"/>
      <c r="B197" s="22"/>
      <c r="C197" s="2"/>
      <c r="D197" s="2"/>
      <c r="E197" s="2"/>
      <c r="F197" s="11"/>
      <c r="G197" s="148"/>
      <c r="H197" s="10"/>
    </row>
    <row r="198" spans="1:8" ht="15.75">
      <c r="A198" s="18"/>
      <c r="B198" s="22"/>
      <c r="C198" s="2"/>
      <c r="D198" s="2"/>
      <c r="E198" s="2"/>
      <c r="F198" s="11"/>
      <c r="G198" s="12"/>
      <c r="H198" s="10"/>
    </row>
    <row r="199" spans="1:8" ht="15.75">
      <c r="A199" s="18"/>
      <c r="B199" s="22"/>
      <c r="C199" s="2"/>
      <c r="D199" s="2"/>
      <c r="E199" s="2"/>
      <c r="F199" s="11"/>
      <c r="G199" s="12"/>
      <c r="H199" s="10"/>
    </row>
    <row r="200" spans="1:8" ht="15.75">
      <c r="A200" s="18"/>
      <c r="B200" s="22"/>
      <c r="C200" s="2"/>
      <c r="D200" s="2"/>
      <c r="E200" s="2"/>
      <c r="F200" s="11"/>
      <c r="G200" s="12"/>
      <c r="H200" s="10"/>
    </row>
    <row r="201" spans="1:8" ht="15.75">
      <c r="A201" s="18"/>
      <c r="B201" s="22"/>
      <c r="C201" s="2"/>
      <c r="D201" s="2"/>
      <c r="E201" s="2"/>
      <c r="F201" s="11"/>
      <c r="G201" s="12"/>
      <c r="H201" s="10"/>
    </row>
    <row r="202" spans="1:8" ht="15.75">
      <c r="A202" s="18"/>
      <c r="B202" s="22"/>
      <c r="C202" s="3"/>
      <c r="D202" s="3"/>
      <c r="E202" s="3"/>
      <c r="F202" s="11"/>
      <c r="G202" s="12"/>
      <c r="H202" s="10"/>
    </row>
    <row r="203" spans="1:8" ht="15.75">
      <c r="A203" s="18"/>
      <c r="B203" s="22"/>
      <c r="C203" s="2"/>
      <c r="D203" s="2"/>
      <c r="E203" s="2"/>
      <c r="F203" s="11"/>
      <c r="G203" s="12"/>
      <c r="H203" s="10"/>
    </row>
    <row r="204" spans="1:8" ht="15.75">
      <c r="A204" s="18"/>
      <c r="C204" s="2"/>
      <c r="D204" s="2"/>
      <c r="E204" s="2"/>
      <c r="F204" s="6"/>
      <c r="G204" s="4"/>
      <c r="H204" s="4"/>
    </row>
    <row r="205" spans="1:8" ht="15.75">
      <c r="A205" s="18"/>
      <c r="C205" s="2"/>
      <c r="D205" s="2"/>
      <c r="E205" s="2"/>
      <c r="F205" s="6"/>
      <c r="G205" s="4"/>
      <c r="H205" s="4"/>
    </row>
    <row r="206" spans="1:8" ht="15.75">
      <c r="A206" s="18"/>
      <c r="C206" s="2"/>
      <c r="D206" s="2"/>
      <c r="E206" s="2"/>
      <c r="F206" s="6"/>
      <c r="G206" s="4"/>
      <c r="H206" s="4"/>
    </row>
    <row r="207" spans="1:8" ht="15.75">
      <c r="A207" s="18"/>
      <c r="C207" s="2"/>
      <c r="D207" s="2"/>
      <c r="E207" s="2"/>
      <c r="F207" s="6"/>
      <c r="G207" s="4"/>
      <c r="H207" s="4"/>
    </row>
    <row r="208" spans="1:8" ht="15.75">
      <c r="A208" s="18"/>
      <c r="C208" s="2"/>
      <c r="D208" s="2"/>
      <c r="E208" s="2"/>
      <c r="F208" s="6"/>
      <c r="G208" s="4"/>
      <c r="H208" s="4"/>
    </row>
    <row r="209" spans="1:8" ht="15.75">
      <c r="A209" s="18"/>
      <c r="C209" s="2"/>
      <c r="D209" s="2"/>
      <c r="E209" s="2"/>
      <c r="F209" s="6"/>
      <c r="G209" s="4"/>
      <c r="H209" s="4"/>
    </row>
    <row r="210" spans="1:8" ht="15.75">
      <c r="A210" s="18"/>
      <c r="C210" s="2"/>
      <c r="D210" s="2"/>
      <c r="E210" s="2"/>
      <c r="F210" s="6"/>
      <c r="G210" s="4"/>
      <c r="H210" s="4"/>
    </row>
    <row r="211" spans="1:8" ht="15.75">
      <c r="A211" s="18"/>
      <c r="C211" s="2"/>
      <c r="D211" s="2"/>
      <c r="E211" s="2"/>
      <c r="F211" s="6"/>
      <c r="G211" s="4"/>
      <c r="H211" s="4"/>
    </row>
    <row r="212" spans="1:8" ht="15.75">
      <c r="A212" s="18"/>
      <c r="C212" s="2"/>
      <c r="D212" s="2"/>
      <c r="E212" s="2"/>
      <c r="F212" s="6"/>
      <c r="G212" s="4"/>
      <c r="H212" s="4"/>
    </row>
    <row r="213" spans="1:8" ht="15.75">
      <c r="A213" s="18"/>
      <c r="C213" s="2"/>
      <c r="D213" s="2"/>
      <c r="E213" s="2"/>
      <c r="F213" s="6"/>
      <c r="G213" s="4"/>
      <c r="H213" s="4"/>
    </row>
    <row r="214" spans="1:8" ht="15.75">
      <c r="A214" s="18"/>
      <c r="C214" s="2"/>
      <c r="D214" s="2"/>
      <c r="E214" s="2"/>
      <c r="F214" s="6"/>
      <c r="G214" s="4"/>
      <c r="H214" s="4"/>
    </row>
    <row r="215" spans="1:8" ht="15.75">
      <c r="A215" s="18"/>
      <c r="C215" s="2"/>
      <c r="D215" s="2"/>
      <c r="E215" s="2"/>
      <c r="F215" s="6"/>
      <c r="G215" s="4"/>
      <c r="H215" s="4"/>
    </row>
    <row r="216" spans="1:8" ht="15.75">
      <c r="A216" s="18"/>
      <c r="C216" s="2"/>
      <c r="D216" s="2"/>
      <c r="E216" s="2"/>
      <c r="F216" s="6"/>
      <c r="G216" s="4"/>
      <c r="H216" s="4"/>
    </row>
    <row r="217" spans="1:8" ht="15.75">
      <c r="A217" s="18"/>
      <c r="C217" s="2"/>
      <c r="D217" s="2"/>
      <c r="E217" s="2"/>
      <c r="F217" s="6"/>
      <c r="G217" s="4"/>
      <c r="H217" s="4"/>
    </row>
    <row r="218" spans="1:8" ht="15.75">
      <c r="A218" s="18"/>
      <c r="C218" s="2"/>
      <c r="D218" s="2"/>
      <c r="E218" s="2"/>
      <c r="F218" s="6"/>
      <c r="G218" s="4"/>
      <c r="H218" s="4"/>
    </row>
    <row r="219" spans="1:8" ht="15.75">
      <c r="A219" s="18"/>
      <c r="C219" s="2"/>
      <c r="D219" s="2"/>
      <c r="E219" s="2"/>
      <c r="F219" s="6"/>
      <c r="G219" s="4"/>
      <c r="H219" s="4"/>
    </row>
    <row r="220" spans="1:8" ht="15.75">
      <c r="A220" s="18"/>
      <c r="C220" s="2"/>
      <c r="D220" s="2"/>
      <c r="E220" s="2"/>
      <c r="F220" s="6"/>
      <c r="G220" s="4"/>
      <c r="H220" s="4"/>
    </row>
    <row r="221" spans="1:8" ht="15.75">
      <c r="A221" s="18"/>
      <c r="C221" s="2"/>
      <c r="D221" s="2"/>
      <c r="E221" s="2"/>
      <c r="F221" s="6"/>
      <c r="G221" s="4"/>
      <c r="H221" s="4"/>
    </row>
    <row r="222" spans="1:8" ht="15.75">
      <c r="A222" s="18"/>
      <c r="C222" s="2"/>
      <c r="D222" s="2"/>
      <c r="E222" s="2"/>
      <c r="F222" s="6"/>
      <c r="G222" s="4"/>
      <c r="H222" s="4"/>
    </row>
    <row r="223" spans="1:8" ht="15.75">
      <c r="A223" s="18"/>
      <c r="C223" s="2"/>
      <c r="D223" s="2"/>
      <c r="E223" s="2"/>
      <c r="F223" s="6"/>
      <c r="G223" s="4"/>
      <c r="H223" s="4"/>
    </row>
    <row r="224" spans="1:8" ht="15.75">
      <c r="A224" s="18"/>
      <c r="C224" s="2"/>
      <c r="D224" s="2"/>
      <c r="E224" s="2"/>
      <c r="F224" s="6"/>
      <c r="G224" s="4"/>
      <c r="H224" s="4"/>
    </row>
    <row r="225" spans="1:8" ht="15.75">
      <c r="A225" s="18"/>
      <c r="C225" s="2"/>
      <c r="D225" s="2"/>
      <c r="E225" s="2"/>
      <c r="F225" s="6"/>
      <c r="G225" s="4"/>
      <c r="H225" s="4"/>
    </row>
    <row r="226" spans="1:8" ht="15.75">
      <c r="A226" s="18"/>
      <c r="C226" s="2"/>
      <c r="D226" s="2"/>
      <c r="E226" s="2"/>
      <c r="F226" s="6"/>
      <c r="G226" s="4"/>
      <c r="H226" s="4"/>
    </row>
    <row r="227" spans="1:8" ht="15.75">
      <c r="A227" s="18"/>
      <c r="C227" s="2"/>
      <c r="D227" s="2"/>
      <c r="E227" s="2"/>
      <c r="F227" s="6"/>
      <c r="G227" s="4"/>
      <c r="H227" s="4"/>
    </row>
    <row r="228" spans="1:8" ht="15.75">
      <c r="A228" s="18"/>
      <c r="C228" s="2"/>
      <c r="D228" s="2"/>
      <c r="E228" s="2"/>
      <c r="F228" s="6"/>
      <c r="G228" s="4"/>
      <c r="H228" s="4"/>
    </row>
    <row r="229" spans="1:8" ht="15.75">
      <c r="A229" s="18"/>
      <c r="C229" s="2"/>
      <c r="D229" s="2"/>
      <c r="E229" s="2"/>
      <c r="F229" s="6"/>
      <c r="G229" s="4"/>
      <c r="H229" s="4"/>
    </row>
  </sheetData>
  <sheetProtection/>
  <mergeCells count="1">
    <mergeCell ref="B181:F181"/>
  </mergeCells>
  <printOptions horizontalCentered="1"/>
  <pageMargins left="0.7" right="0.7" top="0.56" bottom="0.55" header="0.3" footer="0.3"/>
  <pageSetup horizontalDpi="600" verticalDpi="600" orientation="portrait" scale="67" r:id="rId1"/>
  <rowBreaks count="3" manualBreakCount="3">
    <brk id="62" max="7" man="1"/>
    <brk id="118" max="7" man="1"/>
    <brk id="8205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T231"/>
  <sheetViews>
    <sheetView showOutlineSymbols="0" zoomScale="120" zoomScaleNormal="120" zoomScalePageLayoutView="0" workbookViewId="0" topLeftCell="A142">
      <selection activeCell="K4" sqref="K4"/>
    </sheetView>
  </sheetViews>
  <sheetFormatPr defaultColWidth="9.6640625" defaultRowHeight="15"/>
  <cols>
    <col min="1" max="1" width="6.6640625" style="14" customWidth="1"/>
    <col min="2" max="2" width="14.6640625" style="14" customWidth="1"/>
    <col min="3" max="5" width="7.6640625" style="1" customWidth="1"/>
    <col min="6" max="6" width="11.6640625" style="1" customWidth="1"/>
    <col min="7" max="7" width="9.6640625" style="215" customWidth="1"/>
    <col min="8" max="8" width="11.10546875" style="1" customWidth="1"/>
    <col min="9" max="9" width="10.6640625" style="54" customWidth="1"/>
    <col min="10" max="16384" width="9.6640625" style="54" customWidth="1"/>
  </cols>
  <sheetData>
    <row r="1" ht="15.75">
      <c r="A1" s="14" t="s">
        <v>0</v>
      </c>
    </row>
    <row r="2" spans="1:8" ht="15.75">
      <c r="A2" s="18"/>
      <c r="B2" s="14" t="s">
        <v>21</v>
      </c>
      <c r="C2" s="15"/>
      <c r="D2" s="15"/>
      <c r="E2" s="15"/>
      <c r="F2" s="16"/>
      <c r="G2" s="216" t="s">
        <v>23</v>
      </c>
      <c r="H2" s="142">
        <v>44873</v>
      </c>
    </row>
    <row r="3" spans="1:8" ht="15.75">
      <c r="A3" s="18"/>
      <c r="B3" s="66" t="s">
        <v>175</v>
      </c>
      <c r="C3" s="15"/>
      <c r="D3" s="15"/>
      <c r="E3" s="130"/>
      <c r="F3" s="16"/>
      <c r="G3" s="217"/>
      <c r="H3" s="17"/>
    </row>
    <row r="4" spans="1:8" s="190" customFormat="1" ht="23.25">
      <c r="A4" s="185"/>
      <c r="B4" s="186" t="s">
        <v>182</v>
      </c>
      <c r="C4" s="187"/>
      <c r="D4" s="187"/>
      <c r="E4" s="187"/>
      <c r="F4" s="188"/>
      <c r="G4" s="218"/>
      <c r="H4" s="189"/>
    </row>
    <row r="5" spans="1:8" ht="15.75">
      <c r="A5" s="18"/>
      <c r="B5" s="19"/>
      <c r="C5" s="19"/>
      <c r="D5" s="19"/>
      <c r="E5" s="19"/>
      <c r="F5" s="20" t="s">
        <v>22</v>
      </c>
      <c r="G5" s="219"/>
      <c r="H5" s="19" t="s">
        <v>2</v>
      </c>
    </row>
    <row r="6" spans="1:8" ht="16.5" thickBot="1">
      <c r="A6" s="18"/>
      <c r="B6" s="22" t="s">
        <v>3</v>
      </c>
      <c r="C6" s="121">
        <v>2020</v>
      </c>
      <c r="D6" s="121">
        <v>2021</v>
      </c>
      <c r="E6" s="121">
        <v>2022</v>
      </c>
      <c r="F6" s="261" t="s">
        <v>34</v>
      </c>
      <c r="G6" s="220" t="s">
        <v>1</v>
      </c>
      <c r="H6" s="48">
        <v>1</v>
      </c>
    </row>
    <row r="7" spans="1:8" ht="15.75">
      <c r="A7" s="18">
        <v>68</v>
      </c>
      <c r="B7" s="22" t="s">
        <v>37</v>
      </c>
      <c r="C7" s="37">
        <v>6</v>
      </c>
      <c r="D7" s="37">
        <v>6</v>
      </c>
      <c r="E7" s="37">
        <v>6</v>
      </c>
      <c r="F7" s="83">
        <v>44560</v>
      </c>
      <c r="G7" s="221">
        <f aca="true" t="shared" si="0" ref="G7:G12">E7/D7</f>
        <v>1</v>
      </c>
      <c r="H7" s="47">
        <f aca="true" t="shared" si="1" ref="H7:H12">E7-D7</f>
        <v>0</v>
      </c>
    </row>
    <row r="8" spans="1:8" ht="15.75">
      <c r="A8" s="18">
        <v>125</v>
      </c>
      <c r="B8" s="22" t="s">
        <v>4</v>
      </c>
      <c r="C8" s="87">
        <v>48</v>
      </c>
      <c r="D8" s="87">
        <v>52</v>
      </c>
      <c r="E8" s="87">
        <v>61</v>
      </c>
      <c r="F8" s="84">
        <v>44740</v>
      </c>
      <c r="G8" s="222">
        <f t="shared" si="0"/>
        <v>1.1730769230769231</v>
      </c>
      <c r="H8" s="34">
        <f t="shared" si="1"/>
        <v>9</v>
      </c>
    </row>
    <row r="9" spans="1:8" ht="15.75">
      <c r="A9" s="18">
        <v>152</v>
      </c>
      <c r="B9" s="22" t="s">
        <v>5</v>
      </c>
      <c r="C9" s="87">
        <v>12</v>
      </c>
      <c r="D9" s="87">
        <v>12</v>
      </c>
      <c r="E9" s="87">
        <v>12</v>
      </c>
      <c r="F9" s="84">
        <v>44581</v>
      </c>
      <c r="G9" s="222">
        <f t="shared" si="0"/>
        <v>1</v>
      </c>
      <c r="H9" s="34">
        <f t="shared" si="1"/>
        <v>0</v>
      </c>
    </row>
    <row r="10" spans="1:8" ht="15.75">
      <c r="A10" s="18">
        <v>155</v>
      </c>
      <c r="B10" s="22" t="s">
        <v>6</v>
      </c>
      <c r="C10" s="87">
        <v>95</v>
      </c>
      <c r="D10" s="87">
        <v>95</v>
      </c>
      <c r="E10" s="87">
        <v>98</v>
      </c>
      <c r="F10" s="84">
        <v>44656</v>
      </c>
      <c r="G10" s="222">
        <f t="shared" si="0"/>
        <v>1.0315789473684212</v>
      </c>
      <c r="H10" s="34">
        <f t="shared" si="1"/>
        <v>3</v>
      </c>
    </row>
    <row r="11" spans="1:8" ht="16.5" thickBot="1">
      <c r="A11" s="18">
        <v>160</v>
      </c>
      <c r="B11" s="22" t="s">
        <v>40</v>
      </c>
      <c r="C11" s="35">
        <v>20</v>
      </c>
      <c r="D11" s="35">
        <v>15</v>
      </c>
      <c r="E11" s="35">
        <v>15</v>
      </c>
      <c r="F11" s="85">
        <v>44721</v>
      </c>
      <c r="G11" s="223">
        <f t="shared" si="0"/>
        <v>1</v>
      </c>
      <c r="H11" s="42">
        <f t="shared" si="1"/>
        <v>0</v>
      </c>
    </row>
    <row r="12" spans="1:9" ht="15.75">
      <c r="A12" s="18"/>
      <c r="B12" s="22" t="s">
        <v>7</v>
      </c>
      <c r="C12" s="46">
        <f>SUM(C7:C11)</f>
        <v>181</v>
      </c>
      <c r="D12" s="46">
        <f>SUM(D7:D11)</f>
        <v>180</v>
      </c>
      <c r="E12" s="46">
        <f>SUM(E7:E11)</f>
        <v>192</v>
      </c>
      <c r="F12" s="86" t="s">
        <v>0</v>
      </c>
      <c r="G12" s="224">
        <f t="shared" si="0"/>
        <v>1.0666666666666667</v>
      </c>
      <c r="H12" s="63">
        <f t="shared" si="1"/>
        <v>12</v>
      </c>
      <c r="I12" s="55"/>
    </row>
    <row r="13" spans="1:8" ht="15.75">
      <c r="A13" s="18"/>
      <c r="B13" s="22"/>
      <c r="C13" s="15"/>
      <c r="D13" s="15"/>
      <c r="E13" s="15"/>
      <c r="F13" s="20" t="s">
        <v>22</v>
      </c>
      <c r="G13" s="225"/>
      <c r="H13" s="19" t="s">
        <v>2</v>
      </c>
    </row>
    <row r="14" spans="1:8" ht="16.5" thickBot="1">
      <c r="A14" s="18"/>
      <c r="B14" s="22" t="s">
        <v>8</v>
      </c>
      <c r="C14" s="121">
        <v>2020</v>
      </c>
      <c r="D14" s="121">
        <v>2021</v>
      </c>
      <c r="E14" s="121">
        <v>2022</v>
      </c>
      <c r="F14" s="20" t="s">
        <v>34</v>
      </c>
      <c r="G14" s="226" t="s">
        <v>1</v>
      </c>
      <c r="H14" s="41">
        <v>1</v>
      </c>
    </row>
    <row r="15" spans="1:8" ht="15.75">
      <c r="A15" s="18">
        <v>28</v>
      </c>
      <c r="B15" s="22" t="s">
        <v>41</v>
      </c>
      <c r="C15" s="37">
        <v>8</v>
      </c>
      <c r="D15" s="37">
        <v>6</v>
      </c>
      <c r="E15" s="37">
        <v>6</v>
      </c>
      <c r="F15" s="83">
        <v>44537</v>
      </c>
      <c r="G15" s="227">
        <f aca="true" t="shared" si="2" ref="G15:G24">E15/D15</f>
        <v>1</v>
      </c>
      <c r="H15" s="34">
        <f aca="true" t="shared" si="3" ref="H15:H23">E15-D15</f>
        <v>0</v>
      </c>
    </row>
    <row r="16" spans="1:8" ht="15.75">
      <c r="A16" s="18">
        <v>81</v>
      </c>
      <c r="B16" s="22" t="s">
        <v>46</v>
      </c>
      <c r="C16" s="31">
        <v>20</v>
      </c>
      <c r="D16" s="31">
        <v>17</v>
      </c>
      <c r="E16" s="31">
        <v>16</v>
      </c>
      <c r="F16" s="84">
        <v>44607</v>
      </c>
      <c r="G16" s="222">
        <f t="shared" si="2"/>
        <v>0.9411764705882353</v>
      </c>
      <c r="H16" s="34">
        <f t="shared" si="3"/>
        <v>-1</v>
      </c>
    </row>
    <row r="17" spans="1:8" ht="15.75">
      <c r="A17" s="18">
        <v>123</v>
      </c>
      <c r="B17" s="22" t="s">
        <v>45</v>
      </c>
      <c r="C17" s="31">
        <v>38</v>
      </c>
      <c r="D17" s="31">
        <v>38</v>
      </c>
      <c r="E17" s="31">
        <v>38</v>
      </c>
      <c r="F17" s="84">
        <v>44700</v>
      </c>
      <c r="G17" s="222">
        <f t="shared" si="2"/>
        <v>1</v>
      </c>
      <c r="H17" s="34">
        <f t="shared" si="3"/>
        <v>0</v>
      </c>
    </row>
    <row r="18" spans="1:8" ht="15.75">
      <c r="A18" s="18">
        <v>172</v>
      </c>
      <c r="B18" s="22" t="s">
        <v>47</v>
      </c>
      <c r="C18" s="31">
        <v>93</v>
      </c>
      <c r="D18" s="31">
        <v>88</v>
      </c>
      <c r="E18" s="87">
        <v>98</v>
      </c>
      <c r="F18" s="84">
        <v>44740</v>
      </c>
      <c r="G18" s="222">
        <f t="shared" si="2"/>
        <v>1.1136363636363635</v>
      </c>
      <c r="H18" s="34">
        <f t="shared" si="3"/>
        <v>10</v>
      </c>
    </row>
    <row r="19" spans="1:8" ht="15.75">
      <c r="A19" s="18">
        <v>224</v>
      </c>
      <c r="B19" s="22" t="s">
        <v>24</v>
      </c>
      <c r="C19" s="31">
        <v>36</v>
      </c>
      <c r="D19" s="31">
        <v>37</v>
      </c>
      <c r="E19" s="31">
        <v>37</v>
      </c>
      <c r="F19" s="84">
        <v>44581</v>
      </c>
      <c r="G19" s="222">
        <f t="shared" si="2"/>
        <v>1</v>
      </c>
      <c r="H19" s="34">
        <f t="shared" si="3"/>
        <v>0</v>
      </c>
    </row>
    <row r="20" spans="1:8" ht="15.75">
      <c r="A20" s="18">
        <v>236</v>
      </c>
      <c r="B20" s="22" t="s">
        <v>125</v>
      </c>
      <c r="C20" s="92">
        <v>29</v>
      </c>
      <c r="D20" s="92">
        <v>28</v>
      </c>
      <c r="E20" s="92">
        <v>23</v>
      </c>
      <c r="F20" s="93">
        <v>44672</v>
      </c>
      <c r="G20" s="222">
        <f>E20/D20</f>
        <v>0.8214285714285714</v>
      </c>
      <c r="H20" s="34">
        <f>E20-D20</f>
        <v>-5</v>
      </c>
    </row>
    <row r="21" spans="1:8" ht="15.75">
      <c r="A21" s="18">
        <v>260</v>
      </c>
      <c r="B21" s="67" t="s">
        <v>153</v>
      </c>
      <c r="C21" s="161">
        <v>10</v>
      </c>
      <c r="D21" s="161">
        <v>10</v>
      </c>
      <c r="E21" s="161">
        <v>10</v>
      </c>
      <c r="F21" s="93">
        <v>44532</v>
      </c>
      <c r="G21" s="222">
        <f>E21/D21</f>
        <v>1</v>
      </c>
      <c r="H21" s="34">
        <f>E21-D21</f>
        <v>0</v>
      </c>
    </row>
    <row r="22" spans="1:8" ht="15.75">
      <c r="A22" s="18">
        <v>266</v>
      </c>
      <c r="B22" s="67" t="s">
        <v>144</v>
      </c>
      <c r="C22" s="92">
        <f>13+6</f>
        <v>19</v>
      </c>
      <c r="D22" s="92">
        <v>17</v>
      </c>
      <c r="E22" s="92">
        <v>20</v>
      </c>
      <c r="F22" s="93">
        <v>44721</v>
      </c>
      <c r="G22" s="222">
        <f>E22/D22</f>
        <v>1.1764705882352942</v>
      </c>
      <c r="H22" s="34">
        <f>E22-D22</f>
        <v>3</v>
      </c>
    </row>
    <row r="23" spans="1:8" ht="16.5" thickBot="1">
      <c r="A23" s="18">
        <v>344</v>
      </c>
      <c r="B23" s="67" t="s">
        <v>137</v>
      </c>
      <c r="C23" s="94">
        <f>22</f>
        <v>22</v>
      </c>
      <c r="D23" s="94">
        <f>16</f>
        <v>16</v>
      </c>
      <c r="E23" s="94">
        <v>13</v>
      </c>
      <c r="F23" s="85">
        <v>44483</v>
      </c>
      <c r="G23" s="223">
        <f t="shared" si="2"/>
        <v>0.8125</v>
      </c>
      <c r="H23" s="42">
        <f t="shared" si="3"/>
        <v>-3</v>
      </c>
    </row>
    <row r="24" spans="1:8" ht="15.75">
      <c r="A24" s="18"/>
      <c r="B24" s="22" t="s">
        <v>7</v>
      </c>
      <c r="C24" s="46">
        <f>SUM(C15:C23)</f>
        <v>275</v>
      </c>
      <c r="D24" s="46">
        <f>SUM(D15:D23)</f>
        <v>257</v>
      </c>
      <c r="E24" s="46">
        <f>SUM(E15:E23)</f>
        <v>261</v>
      </c>
      <c r="F24" s="49"/>
      <c r="G24" s="224">
        <f t="shared" si="2"/>
        <v>1.0155642023346303</v>
      </c>
      <c r="H24" s="63">
        <f>E24-D24</f>
        <v>4</v>
      </c>
    </row>
    <row r="25" spans="1:11" ht="15.75">
      <c r="A25" s="18"/>
      <c r="B25" s="22"/>
      <c r="C25" s="15"/>
      <c r="D25" s="15"/>
      <c r="E25" s="15"/>
      <c r="F25" s="20" t="s">
        <v>22</v>
      </c>
      <c r="G25" s="225"/>
      <c r="H25" s="19" t="s">
        <v>2</v>
      </c>
      <c r="K25" s="29"/>
    </row>
    <row r="26" spans="1:11" ht="16.5" thickBot="1">
      <c r="A26" s="18"/>
      <c r="B26" s="22" t="s">
        <v>9</v>
      </c>
      <c r="C26" s="121">
        <v>2020</v>
      </c>
      <c r="D26" s="121">
        <v>2021</v>
      </c>
      <c r="E26" s="121">
        <v>2022</v>
      </c>
      <c r="F26" s="20" t="s">
        <v>34</v>
      </c>
      <c r="G26" s="228" t="s">
        <v>1</v>
      </c>
      <c r="H26" s="48">
        <v>1</v>
      </c>
      <c r="K26" s="29"/>
    </row>
    <row r="27" spans="1:11" ht="15.75">
      <c r="A27" s="18">
        <v>52</v>
      </c>
      <c r="B27" s="67" t="s">
        <v>160</v>
      </c>
      <c r="C27" s="138">
        <v>3</v>
      </c>
      <c r="D27" s="138">
        <v>3</v>
      </c>
      <c r="E27" s="138">
        <f>3</f>
        <v>3</v>
      </c>
      <c r="F27" s="83">
        <v>44460</v>
      </c>
      <c r="G27" s="221">
        <f aca="true" t="shared" si="4" ref="G27:G38">E27/D27</f>
        <v>1</v>
      </c>
      <c r="H27" s="181">
        <f aca="true" t="shared" si="5" ref="H27:H37">E27-D27</f>
        <v>0</v>
      </c>
      <c r="K27" s="29"/>
    </row>
    <row r="28" spans="1:254" ht="15.75">
      <c r="A28" s="18">
        <v>124</v>
      </c>
      <c r="B28" s="67" t="s">
        <v>131</v>
      </c>
      <c r="C28" s="162">
        <v>178</v>
      </c>
      <c r="D28" s="162">
        <v>158</v>
      </c>
      <c r="E28" s="162">
        <v>182</v>
      </c>
      <c r="F28" s="163">
        <v>44791</v>
      </c>
      <c r="G28" s="227">
        <f t="shared" si="4"/>
        <v>1.1518987341772151</v>
      </c>
      <c r="H28" s="131">
        <f t="shared" si="5"/>
        <v>24</v>
      </c>
      <c r="I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</row>
    <row r="29" spans="1:254" ht="15.75">
      <c r="A29" s="18">
        <v>130</v>
      </c>
      <c r="B29" s="22" t="s">
        <v>25</v>
      </c>
      <c r="C29" s="69">
        <f>10+3</f>
        <v>13</v>
      </c>
      <c r="D29" s="69">
        <v>13</v>
      </c>
      <c r="E29" s="69">
        <v>13</v>
      </c>
      <c r="F29" s="103">
        <v>44518</v>
      </c>
      <c r="G29" s="222">
        <f t="shared" si="4"/>
        <v>1</v>
      </c>
      <c r="H29" s="34">
        <f t="shared" si="5"/>
        <v>0</v>
      </c>
      <c r="I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</row>
    <row r="30" spans="1:8" ht="15.75">
      <c r="A30" s="18">
        <v>185</v>
      </c>
      <c r="B30" s="22" t="s">
        <v>48</v>
      </c>
      <c r="C30" s="69">
        <v>14</v>
      </c>
      <c r="D30" s="69">
        <v>9</v>
      </c>
      <c r="E30" s="69">
        <v>17</v>
      </c>
      <c r="F30" s="80">
        <v>44732</v>
      </c>
      <c r="G30" s="222">
        <f t="shared" si="4"/>
        <v>1.8888888888888888</v>
      </c>
      <c r="H30" s="34">
        <f t="shared" si="5"/>
        <v>8</v>
      </c>
    </row>
    <row r="31" spans="1:8" ht="15.75">
      <c r="A31" s="18">
        <v>207</v>
      </c>
      <c r="B31" s="67" t="s">
        <v>180</v>
      </c>
      <c r="C31" s="69"/>
      <c r="D31" s="69"/>
      <c r="E31" s="69">
        <v>8</v>
      </c>
      <c r="F31" s="80">
        <v>44741</v>
      </c>
      <c r="G31" s="222"/>
      <c r="H31" s="34"/>
    </row>
    <row r="32" spans="1:8" ht="15.75">
      <c r="A32" s="18">
        <v>275</v>
      </c>
      <c r="B32" s="22" t="s">
        <v>49</v>
      </c>
      <c r="C32" s="69">
        <v>77</v>
      </c>
      <c r="D32" s="69">
        <v>53</v>
      </c>
      <c r="E32" s="69">
        <v>32</v>
      </c>
      <c r="F32" s="80">
        <v>44641</v>
      </c>
      <c r="G32" s="222">
        <f t="shared" si="4"/>
        <v>0.6037735849056604</v>
      </c>
      <c r="H32" s="34">
        <f t="shared" si="5"/>
        <v>-21</v>
      </c>
    </row>
    <row r="33" spans="1:8" ht="15.75">
      <c r="A33" s="18">
        <v>277</v>
      </c>
      <c r="B33" s="22" t="s">
        <v>50</v>
      </c>
      <c r="C33" s="69">
        <v>9</v>
      </c>
      <c r="D33" s="69">
        <v>9</v>
      </c>
      <c r="E33" s="69">
        <v>7</v>
      </c>
      <c r="F33" s="80">
        <v>44537</v>
      </c>
      <c r="G33" s="222">
        <f t="shared" si="4"/>
        <v>0.7777777777777778</v>
      </c>
      <c r="H33" s="34">
        <f t="shared" si="5"/>
        <v>-2</v>
      </c>
    </row>
    <row r="34" spans="1:8" ht="15.75">
      <c r="A34" s="18">
        <v>293</v>
      </c>
      <c r="B34" s="67" t="s">
        <v>128</v>
      </c>
      <c r="C34" s="69">
        <v>9</v>
      </c>
      <c r="D34" s="69">
        <v>9</v>
      </c>
      <c r="E34" s="69">
        <v>13</v>
      </c>
      <c r="F34" s="80">
        <v>44641</v>
      </c>
      <c r="G34" s="222">
        <f t="shared" si="4"/>
        <v>1.4444444444444444</v>
      </c>
      <c r="H34" s="34">
        <f t="shared" si="5"/>
        <v>4</v>
      </c>
    </row>
    <row r="35" spans="1:8" ht="15.75">
      <c r="A35" s="18">
        <v>325</v>
      </c>
      <c r="B35" s="22" t="s">
        <v>126</v>
      </c>
      <c r="C35" s="69">
        <v>22</v>
      </c>
      <c r="D35" s="69">
        <v>14</v>
      </c>
      <c r="E35" s="69">
        <v>30</v>
      </c>
      <c r="F35" s="80">
        <v>44593</v>
      </c>
      <c r="G35" s="222">
        <f t="shared" si="4"/>
        <v>2.142857142857143</v>
      </c>
      <c r="H35" s="34">
        <f t="shared" si="5"/>
        <v>16</v>
      </c>
    </row>
    <row r="36" spans="1:8" ht="15.75">
      <c r="A36" s="18">
        <v>338</v>
      </c>
      <c r="B36" s="22" t="s">
        <v>26</v>
      </c>
      <c r="C36" s="23">
        <v>32</v>
      </c>
      <c r="D36" s="23">
        <v>25</v>
      </c>
      <c r="E36" s="23">
        <v>32</v>
      </c>
      <c r="F36" s="171">
        <v>44732</v>
      </c>
      <c r="G36" s="229">
        <f t="shared" si="4"/>
        <v>1.28</v>
      </c>
      <c r="H36" s="173">
        <f t="shared" si="5"/>
        <v>7</v>
      </c>
    </row>
    <row r="37" spans="1:8" ht="16.5" thickBot="1">
      <c r="A37" s="18">
        <v>351</v>
      </c>
      <c r="B37" s="67" t="s">
        <v>164</v>
      </c>
      <c r="C37" s="35">
        <v>15</v>
      </c>
      <c r="D37" s="35">
        <v>17</v>
      </c>
      <c r="E37" s="35">
        <v>28</v>
      </c>
      <c r="F37" s="85">
        <v>44637</v>
      </c>
      <c r="G37" s="223">
        <f t="shared" si="4"/>
        <v>1.6470588235294117</v>
      </c>
      <c r="H37" s="180">
        <f t="shared" si="5"/>
        <v>11</v>
      </c>
    </row>
    <row r="38" spans="1:8" s="56" customFormat="1" ht="15.75">
      <c r="A38" s="18"/>
      <c r="B38" s="22" t="s">
        <v>7</v>
      </c>
      <c r="C38" s="46">
        <f>SUM(C27:C37)</f>
        <v>372</v>
      </c>
      <c r="D38" s="46">
        <f>SUM(D27:D37)</f>
        <v>310</v>
      </c>
      <c r="E38" s="46">
        <f>SUM(E27:E37)</f>
        <v>365</v>
      </c>
      <c r="F38" s="49"/>
      <c r="G38" s="224">
        <f t="shared" si="4"/>
        <v>1.1774193548387097</v>
      </c>
      <c r="H38" s="63">
        <f>E38-D38</f>
        <v>55</v>
      </c>
    </row>
    <row r="39" spans="1:8" ht="15.75">
      <c r="A39" s="18"/>
      <c r="B39" s="19"/>
      <c r="C39" s="15"/>
      <c r="D39" s="15"/>
      <c r="E39" s="15"/>
      <c r="F39" s="20" t="s">
        <v>22</v>
      </c>
      <c r="G39" s="225"/>
      <c r="H39" s="19" t="s">
        <v>2</v>
      </c>
    </row>
    <row r="40" spans="1:8" ht="16.5" thickBot="1">
      <c r="A40" s="18"/>
      <c r="B40" s="22" t="s">
        <v>10</v>
      </c>
      <c r="C40" s="121">
        <v>2020</v>
      </c>
      <c r="D40" s="121">
        <v>2021</v>
      </c>
      <c r="E40" s="121">
        <v>2022</v>
      </c>
      <c r="F40" s="20" t="s">
        <v>34</v>
      </c>
      <c r="G40" s="226" t="s">
        <v>1</v>
      </c>
      <c r="H40" s="41">
        <v>1</v>
      </c>
    </row>
    <row r="41" spans="1:8" ht="15.75">
      <c r="A41" s="18">
        <v>2</v>
      </c>
      <c r="B41" s="22" t="s">
        <v>52</v>
      </c>
      <c r="C41" s="50">
        <v>22</v>
      </c>
      <c r="D41" s="50">
        <v>12</v>
      </c>
      <c r="E41" s="50">
        <v>14</v>
      </c>
      <c r="F41" s="51">
        <v>44656</v>
      </c>
      <c r="G41" s="222">
        <f aca="true" t="shared" si="6" ref="G41:G64">E41/D41</f>
        <v>1.1666666666666667</v>
      </c>
      <c r="H41" s="34">
        <f aca="true" t="shared" si="7" ref="H41:H63">E41-D41</f>
        <v>2</v>
      </c>
    </row>
    <row r="42" spans="1:8" ht="15.75">
      <c r="A42" s="18">
        <v>41</v>
      </c>
      <c r="B42" s="22" t="s">
        <v>51</v>
      </c>
      <c r="C42" s="23">
        <f>21+11</f>
        <v>32</v>
      </c>
      <c r="D42" s="23">
        <v>26</v>
      </c>
      <c r="E42" s="23">
        <v>11</v>
      </c>
      <c r="F42" s="24">
        <v>44616</v>
      </c>
      <c r="G42" s="222">
        <f t="shared" si="6"/>
        <v>0.4230769230769231</v>
      </c>
      <c r="H42" s="34">
        <f t="shared" si="7"/>
        <v>-15</v>
      </c>
    </row>
    <row r="43" spans="1:8" ht="15.75">
      <c r="A43" s="18">
        <v>58</v>
      </c>
      <c r="B43" s="22" t="s">
        <v>121</v>
      </c>
      <c r="C43" s="23">
        <v>23</v>
      </c>
      <c r="D43" s="23">
        <v>20</v>
      </c>
      <c r="E43" s="23">
        <v>21</v>
      </c>
      <c r="F43" s="24">
        <v>44585</v>
      </c>
      <c r="G43" s="222">
        <f t="shared" si="6"/>
        <v>1.05</v>
      </c>
      <c r="H43" s="34">
        <f t="shared" si="7"/>
        <v>1</v>
      </c>
    </row>
    <row r="44" spans="1:8" ht="15.75">
      <c r="A44" s="18">
        <v>59</v>
      </c>
      <c r="B44" s="22" t="s">
        <v>53</v>
      </c>
      <c r="C44" s="23">
        <v>8</v>
      </c>
      <c r="D44" s="23">
        <v>7</v>
      </c>
      <c r="E44" s="23">
        <v>6</v>
      </c>
      <c r="F44" s="24">
        <v>44502</v>
      </c>
      <c r="G44" s="222">
        <f t="shared" si="6"/>
        <v>0.8571428571428571</v>
      </c>
      <c r="H44" s="34">
        <f t="shared" si="7"/>
        <v>-1</v>
      </c>
    </row>
    <row r="45" spans="1:8" ht="15.75">
      <c r="A45" s="18">
        <v>92</v>
      </c>
      <c r="B45" s="22" t="s">
        <v>54</v>
      </c>
      <c r="C45" s="23">
        <v>34</v>
      </c>
      <c r="D45" s="23">
        <v>34</v>
      </c>
      <c r="E45" s="23">
        <v>35</v>
      </c>
      <c r="F45" s="24">
        <v>44686</v>
      </c>
      <c r="G45" s="222">
        <f t="shared" si="6"/>
        <v>1.0294117647058822</v>
      </c>
      <c r="H45" s="34">
        <f t="shared" si="7"/>
        <v>1</v>
      </c>
    </row>
    <row r="46" spans="1:8" ht="15.75">
      <c r="A46" s="18">
        <v>102</v>
      </c>
      <c r="B46" s="22" t="s">
        <v>42</v>
      </c>
      <c r="C46" s="70">
        <v>104</v>
      </c>
      <c r="D46" s="23">
        <v>113</v>
      </c>
      <c r="E46" s="23">
        <v>112</v>
      </c>
      <c r="F46" s="24">
        <v>44749</v>
      </c>
      <c r="G46" s="222">
        <f t="shared" si="6"/>
        <v>0.9911504424778761</v>
      </c>
      <c r="H46" s="34">
        <f t="shared" si="7"/>
        <v>-1</v>
      </c>
    </row>
    <row r="47" spans="1:8" ht="15.75">
      <c r="A47" s="18">
        <v>109</v>
      </c>
      <c r="B47" s="22" t="s">
        <v>55</v>
      </c>
      <c r="C47" s="23">
        <v>28</v>
      </c>
      <c r="D47" s="23">
        <v>26</v>
      </c>
      <c r="E47" s="23">
        <v>24</v>
      </c>
      <c r="F47" s="80">
        <v>44761</v>
      </c>
      <c r="G47" s="222">
        <f t="shared" si="6"/>
        <v>0.9230769230769231</v>
      </c>
      <c r="H47" s="34">
        <f t="shared" si="7"/>
        <v>-2</v>
      </c>
    </row>
    <row r="48" spans="1:8" ht="15.75">
      <c r="A48" s="18">
        <v>129</v>
      </c>
      <c r="B48" s="22" t="s">
        <v>56</v>
      </c>
      <c r="C48" s="23">
        <v>32</v>
      </c>
      <c r="D48" s="23">
        <v>12</v>
      </c>
      <c r="E48" s="23">
        <v>32</v>
      </c>
      <c r="F48" s="24">
        <v>44641</v>
      </c>
      <c r="G48" s="222">
        <f t="shared" si="6"/>
        <v>2.6666666666666665</v>
      </c>
      <c r="H48" s="34">
        <f t="shared" si="7"/>
        <v>20</v>
      </c>
    </row>
    <row r="49" spans="1:8" ht="15.75">
      <c r="A49" s="18">
        <v>138</v>
      </c>
      <c r="B49" s="67" t="s">
        <v>132</v>
      </c>
      <c r="C49" s="23">
        <v>29</v>
      </c>
      <c r="D49" s="23">
        <v>31</v>
      </c>
      <c r="E49" s="23">
        <v>31</v>
      </c>
      <c r="F49" s="24">
        <v>44572</v>
      </c>
      <c r="G49" s="222">
        <f t="shared" si="6"/>
        <v>1</v>
      </c>
      <c r="H49" s="34">
        <f t="shared" si="7"/>
        <v>0</v>
      </c>
    </row>
    <row r="50" spans="1:8" ht="15.75">
      <c r="A50" s="18">
        <v>161</v>
      </c>
      <c r="B50" s="67" t="s">
        <v>181</v>
      </c>
      <c r="C50" s="23"/>
      <c r="D50" s="23"/>
      <c r="E50" s="23">
        <v>2</v>
      </c>
      <c r="F50" s="24">
        <v>44629</v>
      </c>
      <c r="G50" s="222"/>
      <c r="H50" s="34"/>
    </row>
    <row r="51" spans="1:8" ht="15.75">
      <c r="A51" s="18">
        <v>184</v>
      </c>
      <c r="B51" s="22" t="s">
        <v>36</v>
      </c>
      <c r="C51" s="23">
        <v>31</v>
      </c>
      <c r="D51" s="23">
        <v>34</v>
      </c>
      <c r="E51" s="23">
        <v>39</v>
      </c>
      <c r="F51" s="24">
        <v>44707</v>
      </c>
      <c r="G51" s="222">
        <f t="shared" si="6"/>
        <v>1.1470588235294117</v>
      </c>
      <c r="H51" s="34">
        <f t="shared" si="7"/>
        <v>5</v>
      </c>
    </row>
    <row r="52" spans="1:8" ht="15.75">
      <c r="A52" s="18">
        <v>189</v>
      </c>
      <c r="B52" s="22" t="s">
        <v>57</v>
      </c>
      <c r="C52" s="23">
        <v>24</v>
      </c>
      <c r="D52" s="23">
        <v>25</v>
      </c>
      <c r="E52" s="23">
        <v>17</v>
      </c>
      <c r="F52" s="80">
        <v>44699</v>
      </c>
      <c r="G52" s="222">
        <f t="shared" si="6"/>
        <v>0.68</v>
      </c>
      <c r="H52" s="34">
        <f t="shared" si="7"/>
        <v>-8</v>
      </c>
    </row>
    <row r="53" spans="1:254" ht="15.75">
      <c r="A53" s="18">
        <v>193</v>
      </c>
      <c r="B53" s="22" t="s">
        <v>58</v>
      </c>
      <c r="C53" s="23">
        <v>150</v>
      </c>
      <c r="D53" s="23">
        <v>173</v>
      </c>
      <c r="E53" s="23">
        <v>178</v>
      </c>
      <c r="F53" s="24">
        <v>44742</v>
      </c>
      <c r="G53" s="222">
        <f t="shared" si="6"/>
        <v>1.0289017341040463</v>
      </c>
      <c r="H53" s="34">
        <f t="shared" si="7"/>
        <v>5</v>
      </c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</row>
    <row r="54" spans="1:254" ht="15.75">
      <c r="A54" s="170">
        <v>204</v>
      </c>
      <c r="B54" s="67" t="s">
        <v>163</v>
      </c>
      <c r="C54" s="23">
        <v>9</v>
      </c>
      <c r="D54" s="23">
        <v>13</v>
      </c>
      <c r="E54" s="23">
        <f>15</f>
        <v>15</v>
      </c>
      <c r="F54" s="24">
        <v>44420</v>
      </c>
      <c r="G54" s="222">
        <f t="shared" si="6"/>
        <v>1.1538461538461537</v>
      </c>
      <c r="H54" s="178">
        <f t="shared" si="7"/>
        <v>2</v>
      </c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</row>
    <row r="55" spans="1:9" ht="15.75">
      <c r="A55" s="18">
        <v>234</v>
      </c>
      <c r="B55" s="22" t="s">
        <v>27</v>
      </c>
      <c r="C55" s="23">
        <v>53</v>
      </c>
      <c r="D55" s="23">
        <v>16</v>
      </c>
      <c r="E55" s="23">
        <v>20</v>
      </c>
      <c r="F55" s="24">
        <v>44641</v>
      </c>
      <c r="G55" s="222">
        <f t="shared" si="6"/>
        <v>1.25</v>
      </c>
      <c r="H55" s="34">
        <f t="shared" si="7"/>
        <v>4</v>
      </c>
      <c r="I55" s="30"/>
    </row>
    <row r="56" spans="1:8" ht="15.75">
      <c r="A56" s="18">
        <v>244</v>
      </c>
      <c r="B56" s="22" t="s">
        <v>43</v>
      </c>
      <c r="C56" s="23">
        <v>53</v>
      </c>
      <c r="D56" s="23">
        <f>40+6</f>
        <v>46</v>
      </c>
      <c r="E56" s="23">
        <v>51</v>
      </c>
      <c r="F56" s="24">
        <v>44658</v>
      </c>
      <c r="G56" s="222">
        <f t="shared" si="6"/>
        <v>1.108695652173913</v>
      </c>
      <c r="H56" s="34">
        <f t="shared" si="7"/>
        <v>5</v>
      </c>
    </row>
    <row r="57" spans="1:8" ht="15.75">
      <c r="A57" s="18">
        <v>279</v>
      </c>
      <c r="B57" s="22" t="s">
        <v>39</v>
      </c>
      <c r="C57" s="23">
        <v>22</v>
      </c>
      <c r="D57" s="23">
        <v>15</v>
      </c>
      <c r="E57" s="23">
        <v>29</v>
      </c>
      <c r="F57" s="24">
        <v>44756</v>
      </c>
      <c r="G57" s="222">
        <f t="shared" si="6"/>
        <v>1.9333333333333333</v>
      </c>
      <c r="H57" s="34">
        <f t="shared" si="7"/>
        <v>14</v>
      </c>
    </row>
    <row r="58" spans="1:8" ht="15.75">
      <c r="A58" s="18">
        <v>288</v>
      </c>
      <c r="B58" s="22" t="s">
        <v>59</v>
      </c>
      <c r="C58" s="23">
        <v>14</v>
      </c>
      <c r="D58" s="23">
        <v>6</v>
      </c>
      <c r="E58" s="23">
        <f>0</f>
        <v>0</v>
      </c>
      <c r="F58" s="24"/>
      <c r="G58" s="222">
        <f t="shared" si="6"/>
        <v>0</v>
      </c>
      <c r="H58" s="34">
        <f t="shared" si="7"/>
        <v>-6</v>
      </c>
    </row>
    <row r="59" spans="1:8" ht="15.75">
      <c r="A59" s="18">
        <v>373</v>
      </c>
      <c r="B59" s="22" t="s">
        <v>28</v>
      </c>
      <c r="C59" s="23">
        <v>66</v>
      </c>
      <c r="D59" s="23">
        <v>59</v>
      </c>
      <c r="E59" s="23">
        <v>62</v>
      </c>
      <c r="F59" s="24">
        <v>44721</v>
      </c>
      <c r="G59" s="222">
        <f t="shared" si="6"/>
        <v>1.0508474576271187</v>
      </c>
      <c r="H59" s="34">
        <f t="shared" si="7"/>
        <v>3</v>
      </c>
    </row>
    <row r="60" spans="1:8" ht="15.75">
      <c r="A60" s="18">
        <v>414</v>
      </c>
      <c r="B60" s="22" t="s">
        <v>123</v>
      </c>
      <c r="C60" s="23">
        <v>71</v>
      </c>
      <c r="D60" s="23">
        <v>68</v>
      </c>
      <c r="E60" s="23">
        <v>67</v>
      </c>
      <c r="F60" s="24">
        <v>44692</v>
      </c>
      <c r="G60" s="222">
        <f t="shared" si="6"/>
        <v>0.9852941176470589</v>
      </c>
      <c r="H60" s="34">
        <f t="shared" si="7"/>
        <v>-1</v>
      </c>
    </row>
    <row r="61" spans="1:8" ht="15.75">
      <c r="A61" s="18">
        <v>429</v>
      </c>
      <c r="B61" s="22" t="s">
        <v>11</v>
      </c>
      <c r="C61" s="23">
        <f>9</f>
        <v>9</v>
      </c>
      <c r="D61" s="23">
        <v>8</v>
      </c>
      <c r="E61" s="23">
        <v>7</v>
      </c>
      <c r="F61" s="45">
        <v>44755</v>
      </c>
      <c r="G61" s="222">
        <f t="shared" si="6"/>
        <v>0.875</v>
      </c>
      <c r="H61" s="34">
        <f t="shared" si="7"/>
        <v>-1</v>
      </c>
    </row>
    <row r="62" spans="1:8" ht="15.75">
      <c r="A62" s="18">
        <v>435</v>
      </c>
      <c r="B62" s="22" t="s">
        <v>120</v>
      </c>
      <c r="C62" s="23">
        <v>76</v>
      </c>
      <c r="D62" s="23">
        <v>67</v>
      </c>
      <c r="E62" s="23">
        <v>87</v>
      </c>
      <c r="F62" s="45">
        <v>44656</v>
      </c>
      <c r="G62" s="222">
        <f t="shared" si="6"/>
        <v>1.2985074626865671</v>
      </c>
      <c r="H62" s="34">
        <f t="shared" si="7"/>
        <v>20</v>
      </c>
    </row>
    <row r="63" spans="1:8" ht="16.5" thickBot="1">
      <c r="A63" s="18">
        <v>443</v>
      </c>
      <c r="B63" s="22" t="s">
        <v>119</v>
      </c>
      <c r="C63" s="52">
        <v>108</v>
      </c>
      <c r="D63" s="52">
        <v>109</v>
      </c>
      <c r="E63" s="52">
        <v>122</v>
      </c>
      <c r="F63" s="53">
        <v>44721</v>
      </c>
      <c r="G63" s="223">
        <f t="shared" si="6"/>
        <v>1.1192660550458715</v>
      </c>
      <c r="H63" s="42">
        <f t="shared" si="7"/>
        <v>13</v>
      </c>
    </row>
    <row r="64" spans="1:8" s="56" customFormat="1" ht="15.75">
      <c r="A64" s="18"/>
      <c r="B64" s="22" t="s">
        <v>7</v>
      </c>
      <c r="C64" s="46">
        <f>SUM(C41:C63)</f>
        <v>998</v>
      </c>
      <c r="D64" s="46">
        <f>SUM(D41:D63)</f>
        <v>920</v>
      </c>
      <c r="E64" s="46">
        <f>SUM(E41:E63)</f>
        <v>982</v>
      </c>
      <c r="F64" s="49"/>
      <c r="G64" s="224">
        <f t="shared" si="6"/>
        <v>1.067391304347826</v>
      </c>
      <c r="H64" s="63">
        <f>E64-D64</f>
        <v>62</v>
      </c>
    </row>
    <row r="65" spans="1:8" ht="15.75">
      <c r="A65" s="18"/>
      <c r="B65" s="19"/>
      <c r="C65" s="15"/>
      <c r="D65" s="15"/>
      <c r="E65" s="15"/>
      <c r="F65" s="20" t="s">
        <v>22</v>
      </c>
      <c r="G65" s="225"/>
      <c r="H65" s="19" t="s">
        <v>2</v>
      </c>
    </row>
    <row r="66" spans="1:8" ht="16.5" thickBot="1">
      <c r="A66" s="18"/>
      <c r="B66" s="22" t="s">
        <v>12</v>
      </c>
      <c r="C66" s="122">
        <v>2020</v>
      </c>
      <c r="D66" s="122">
        <v>2021</v>
      </c>
      <c r="E66" s="122">
        <v>2022</v>
      </c>
      <c r="F66" s="20" t="s">
        <v>34</v>
      </c>
      <c r="G66" s="226" t="s">
        <v>1</v>
      </c>
      <c r="H66" s="41">
        <v>1</v>
      </c>
    </row>
    <row r="67" spans="1:8" ht="15.75">
      <c r="A67" s="18">
        <v>19</v>
      </c>
      <c r="B67" s="22" t="s">
        <v>13</v>
      </c>
      <c r="C67" s="39">
        <v>34</v>
      </c>
      <c r="D67" s="98">
        <v>33</v>
      </c>
      <c r="E67" s="98">
        <v>33</v>
      </c>
      <c r="F67" s="51">
        <v>44581</v>
      </c>
      <c r="G67" s="222">
        <f aca="true" t="shared" si="8" ref="G67:G94">E67/D67</f>
        <v>1</v>
      </c>
      <c r="H67" s="34">
        <f aca="true" t="shared" si="9" ref="H67:H93">E67-D67</f>
        <v>0</v>
      </c>
    </row>
    <row r="68" spans="1:8" ht="15.75">
      <c r="A68" s="18">
        <v>39</v>
      </c>
      <c r="B68" s="22" t="s">
        <v>14</v>
      </c>
      <c r="C68" s="23">
        <v>82</v>
      </c>
      <c r="D68" s="23">
        <v>82</v>
      </c>
      <c r="E68" s="23">
        <v>79</v>
      </c>
      <c r="F68" s="24">
        <v>44637</v>
      </c>
      <c r="G68" s="222">
        <f t="shared" si="8"/>
        <v>0.9634146341463414</v>
      </c>
      <c r="H68" s="34">
        <f t="shared" si="9"/>
        <v>-3</v>
      </c>
    </row>
    <row r="69" spans="1:8" ht="15.75">
      <c r="A69" s="18">
        <v>45</v>
      </c>
      <c r="B69" s="22" t="s">
        <v>60</v>
      </c>
      <c r="C69" s="23">
        <v>121</v>
      </c>
      <c r="D69" s="23">
        <v>114</v>
      </c>
      <c r="E69" s="23">
        <v>119</v>
      </c>
      <c r="F69" s="24">
        <v>44656</v>
      </c>
      <c r="G69" s="222">
        <f t="shared" si="8"/>
        <v>1.043859649122807</v>
      </c>
      <c r="H69" s="34">
        <f t="shared" si="9"/>
        <v>5</v>
      </c>
    </row>
    <row r="70" spans="1:8" ht="15.75">
      <c r="A70" s="170">
        <v>55</v>
      </c>
      <c r="B70" s="67" t="s">
        <v>138</v>
      </c>
      <c r="C70" s="23">
        <f>5</f>
        <v>5</v>
      </c>
      <c r="D70" s="23">
        <v>0</v>
      </c>
      <c r="E70" s="70">
        <v>0</v>
      </c>
      <c r="F70" s="24"/>
      <c r="G70" s="222" t="e">
        <f t="shared" si="8"/>
        <v>#DIV/0!</v>
      </c>
      <c r="H70" s="34">
        <f t="shared" si="9"/>
        <v>0</v>
      </c>
    </row>
    <row r="71" spans="1:8" ht="15.75">
      <c r="A71" s="18">
        <v>62</v>
      </c>
      <c r="B71" s="22" t="s">
        <v>61</v>
      </c>
      <c r="C71" s="23">
        <v>60</v>
      </c>
      <c r="D71" s="23">
        <v>36</v>
      </c>
      <c r="E71" s="23">
        <v>65</v>
      </c>
      <c r="F71" s="24">
        <v>44656</v>
      </c>
      <c r="G71" s="222">
        <f t="shared" si="8"/>
        <v>1.8055555555555556</v>
      </c>
      <c r="H71" s="34">
        <f t="shared" si="9"/>
        <v>29</v>
      </c>
    </row>
    <row r="72" spans="1:8" ht="15.75">
      <c r="A72" s="18">
        <v>69</v>
      </c>
      <c r="B72" s="22" t="s">
        <v>62</v>
      </c>
      <c r="C72" s="23">
        <v>29</v>
      </c>
      <c r="D72" s="23">
        <v>21</v>
      </c>
      <c r="E72" s="23">
        <v>22</v>
      </c>
      <c r="F72" s="24">
        <v>44644</v>
      </c>
      <c r="G72" s="222">
        <f t="shared" si="8"/>
        <v>1.0476190476190477</v>
      </c>
      <c r="H72" s="34">
        <f t="shared" si="9"/>
        <v>1</v>
      </c>
    </row>
    <row r="73" spans="1:8" ht="15.75">
      <c r="A73" s="170">
        <v>77</v>
      </c>
      <c r="B73" s="22" t="s">
        <v>63</v>
      </c>
      <c r="C73" s="23">
        <v>19</v>
      </c>
      <c r="D73" s="23">
        <v>0</v>
      </c>
      <c r="E73" s="23">
        <f>0</f>
        <v>0</v>
      </c>
      <c r="F73" s="24"/>
      <c r="G73" s="222" t="e">
        <f t="shared" si="8"/>
        <v>#DIV/0!</v>
      </c>
      <c r="H73" s="34">
        <f t="shared" si="9"/>
        <v>0</v>
      </c>
    </row>
    <row r="74" spans="1:8" ht="15.75">
      <c r="A74" s="18">
        <v>87</v>
      </c>
      <c r="B74" s="22" t="s">
        <v>64</v>
      </c>
      <c r="C74" s="23">
        <v>0</v>
      </c>
      <c r="D74" s="23">
        <v>0</v>
      </c>
      <c r="E74" s="23">
        <v>23</v>
      </c>
      <c r="F74" s="24">
        <v>44469</v>
      </c>
      <c r="G74" s="222" t="e">
        <f t="shared" si="8"/>
        <v>#DIV/0!</v>
      </c>
      <c r="H74" s="34">
        <f t="shared" si="9"/>
        <v>23</v>
      </c>
    </row>
    <row r="75" spans="1:8" ht="15.75">
      <c r="A75" s="18">
        <v>101</v>
      </c>
      <c r="B75" s="22" t="s">
        <v>65</v>
      </c>
      <c r="C75" s="23">
        <v>104</v>
      </c>
      <c r="D75" s="23">
        <v>98</v>
      </c>
      <c r="E75" s="23">
        <v>91</v>
      </c>
      <c r="F75" s="24">
        <v>44672</v>
      </c>
      <c r="G75" s="222">
        <f t="shared" si="8"/>
        <v>0.9285714285714286</v>
      </c>
      <c r="H75" s="34">
        <f t="shared" si="9"/>
        <v>-7</v>
      </c>
    </row>
    <row r="76" spans="1:8" ht="15.75">
      <c r="A76" s="18">
        <v>107</v>
      </c>
      <c r="B76" s="22" t="s">
        <v>66</v>
      </c>
      <c r="C76" s="23">
        <v>5</v>
      </c>
      <c r="D76" s="23">
        <v>5</v>
      </c>
      <c r="E76" s="23">
        <v>5</v>
      </c>
      <c r="F76" s="24">
        <v>44553</v>
      </c>
      <c r="G76" s="222">
        <f t="shared" si="8"/>
        <v>1</v>
      </c>
      <c r="H76" s="34">
        <f t="shared" si="9"/>
        <v>0</v>
      </c>
    </row>
    <row r="77" spans="1:8" ht="15.75">
      <c r="A77" s="18">
        <v>115</v>
      </c>
      <c r="B77" s="22" t="s">
        <v>44</v>
      </c>
      <c r="C77" s="23">
        <v>40</v>
      </c>
      <c r="D77" s="23">
        <v>35</v>
      </c>
      <c r="E77" s="23">
        <v>39</v>
      </c>
      <c r="F77" s="24">
        <v>44706</v>
      </c>
      <c r="G77" s="222">
        <f t="shared" si="8"/>
        <v>1.1142857142857143</v>
      </c>
      <c r="H77" s="34">
        <f t="shared" si="9"/>
        <v>4</v>
      </c>
    </row>
    <row r="78" spans="1:8" ht="15.75">
      <c r="A78" s="18">
        <v>132</v>
      </c>
      <c r="B78" s="22" t="s">
        <v>67</v>
      </c>
      <c r="C78" s="23">
        <v>58</v>
      </c>
      <c r="D78" s="23">
        <v>58</v>
      </c>
      <c r="E78" s="23">
        <v>62</v>
      </c>
      <c r="F78" s="24">
        <v>44641</v>
      </c>
      <c r="G78" s="222">
        <f t="shared" si="8"/>
        <v>1.0689655172413792</v>
      </c>
      <c r="H78" s="34">
        <f t="shared" si="9"/>
        <v>4</v>
      </c>
    </row>
    <row r="79" spans="1:8" ht="15.75">
      <c r="A79" s="18">
        <v>136</v>
      </c>
      <c r="B79" s="22" t="s">
        <v>68</v>
      </c>
      <c r="C79" s="23">
        <v>35</v>
      </c>
      <c r="D79" s="23">
        <v>35</v>
      </c>
      <c r="E79" s="23">
        <v>36</v>
      </c>
      <c r="F79" s="24">
        <v>44740</v>
      </c>
      <c r="G79" s="222">
        <f t="shared" si="8"/>
        <v>1.0285714285714285</v>
      </c>
      <c r="H79" s="34">
        <f t="shared" si="9"/>
        <v>1</v>
      </c>
    </row>
    <row r="80" spans="1:8" ht="15.75">
      <c r="A80" s="18">
        <v>139</v>
      </c>
      <c r="B80" s="22" t="s">
        <v>69</v>
      </c>
      <c r="C80" s="23">
        <f>7</f>
        <v>7</v>
      </c>
      <c r="D80" s="23">
        <v>5</v>
      </c>
      <c r="E80" s="23">
        <f>5</f>
        <v>5</v>
      </c>
      <c r="F80" s="24">
        <v>44462</v>
      </c>
      <c r="G80" s="222">
        <f t="shared" si="8"/>
        <v>1</v>
      </c>
      <c r="H80" s="34">
        <f t="shared" si="9"/>
        <v>0</v>
      </c>
    </row>
    <row r="81" spans="1:8" ht="15.75">
      <c r="A81" s="18">
        <v>156</v>
      </c>
      <c r="B81" s="22" t="s">
        <v>38</v>
      </c>
      <c r="C81" s="23">
        <v>50</v>
      </c>
      <c r="D81" s="23">
        <v>51</v>
      </c>
      <c r="E81" s="23">
        <v>60</v>
      </c>
      <c r="F81" s="24">
        <v>44706</v>
      </c>
      <c r="G81" s="222">
        <f t="shared" si="8"/>
        <v>1.1764705882352942</v>
      </c>
      <c r="H81" s="34">
        <f t="shared" si="9"/>
        <v>9</v>
      </c>
    </row>
    <row r="82" spans="1:8" ht="15.75">
      <c r="A82" s="18">
        <v>159</v>
      </c>
      <c r="B82" s="22" t="s">
        <v>70</v>
      </c>
      <c r="C82" s="23">
        <f>32</f>
        <v>32</v>
      </c>
      <c r="D82" s="23">
        <v>33</v>
      </c>
      <c r="E82" s="23">
        <v>34</v>
      </c>
      <c r="F82" s="24">
        <v>44601</v>
      </c>
      <c r="G82" s="222">
        <f t="shared" si="8"/>
        <v>1.0303030303030303</v>
      </c>
      <c r="H82" s="34">
        <f t="shared" si="9"/>
        <v>1</v>
      </c>
    </row>
    <row r="83" spans="1:8" ht="15.75">
      <c r="A83" s="18">
        <v>183</v>
      </c>
      <c r="B83" s="22" t="s">
        <v>71</v>
      </c>
      <c r="C83" s="23">
        <v>2</v>
      </c>
      <c r="D83" s="23">
        <v>4</v>
      </c>
      <c r="E83" s="23">
        <v>4</v>
      </c>
      <c r="F83" s="24">
        <v>44573</v>
      </c>
      <c r="G83" s="222">
        <f t="shared" si="8"/>
        <v>1</v>
      </c>
      <c r="H83" s="34">
        <f t="shared" si="9"/>
        <v>0</v>
      </c>
    </row>
    <row r="84" spans="1:8" ht="15.75">
      <c r="A84" s="18">
        <v>191</v>
      </c>
      <c r="B84" s="22" t="s">
        <v>72</v>
      </c>
      <c r="C84" s="23">
        <v>15</v>
      </c>
      <c r="D84" s="23">
        <v>16</v>
      </c>
      <c r="E84" s="23">
        <v>17</v>
      </c>
      <c r="F84" s="24">
        <v>44600</v>
      </c>
      <c r="G84" s="222">
        <f t="shared" si="8"/>
        <v>1.0625</v>
      </c>
      <c r="H84" s="34">
        <f t="shared" si="9"/>
        <v>1</v>
      </c>
    </row>
    <row r="85" spans="1:8" ht="15.75">
      <c r="A85" s="18">
        <v>221</v>
      </c>
      <c r="B85" s="22" t="s">
        <v>73</v>
      </c>
      <c r="C85" s="23">
        <v>101</v>
      </c>
      <c r="D85" s="23">
        <v>74</v>
      </c>
      <c r="E85" s="23">
        <v>106</v>
      </c>
      <c r="F85" s="80">
        <v>44777</v>
      </c>
      <c r="G85" s="222">
        <f t="shared" si="8"/>
        <v>1.4324324324324325</v>
      </c>
      <c r="H85" s="34">
        <f t="shared" si="9"/>
        <v>32</v>
      </c>
    </row>
    <row r="86" spans="1:8" ht="15.75">
      <c r="A86" s="18">
        <v>247</v>
      </c>
      <c r="B86" s="22" t="s">
        <v>74</v>
      </c>
      <c r="C86" s="23">
        <v>15</v>
      </c>
      <c r="D86" s="23">
        <v>12</v>
      </c>
      <c r="E86" s="23">
        <v>11</v>
      </c>
      <c r="F86" s="24">
        <v>44873</v>
      </c>
      <c r="G86" s="222">
        <f t="shared" si="8"/>
        <v>0.9166666666666666</v>
      </c>
      <c r="H86" s="34">
        <f t="shared" si="9"/>
        <v>-1</v>
      </c>
    </row>
    <row r="87" spans="1:8" ht="15.75">
      <c r="A87" s="18">
        <v>273</v>
      </c>
      <c r="B87" s="22" t="s">
        <v>75</v>
      </c>
      <c r="C87" s="23">
        <v>84</v>
      </c>
      <c r="D87" s="23">
        <v>86</v>
      </c>
      <c r="E87" s="23">
        <v>85</v>
      </c>
      <c r="F87" s="24">
        <v>44594</v>
      </c>
      <c r="G87" s="222">
        <f t="shared" si="8"/>
        <v>0.9883720930232558</v>
      </c>
      <c r="H87" s="34">
        <f t="shared" si="9"/>
        <v>-1</v>
      </c>
    </row>
    <row r="88" spans="1:8" ht="15.75">
      <c r="A88" s="18">
        <v>313</v>
      </c>
      <c r="B88" s="22" t="s">
        <v>35</v>
      </c>
      <c r="C88" s="23">
        <v>30</v>
      </c>
      <c r="D88" s="23">
        <v>26</v>
      </c>
      <c r="E88" s="23">
        <v>26</v>
      </c>
      <c r="F88" s="45">
        <v>44699</v>
      </c>
      <c r="G88" s="222">
        <f t="shared" si="8"/>
        <v>1</v>
      </c>
      <c r="H88" s="34">
        <f t="shared" si="9"/>
        <v>0</v>
      </c>
    </row>
    <row r="89" spans="1:8" ht="15.75">
      <c r="A89" s="18">
        <v>315</v>
      </c>
      <c r="B89" s="22" t="s">
        <v>76</v>
      </c>
      <c r="C89" s="23">
        <v>54</v>
      </c>
      <c r="D89" s="23">
        <v>52</v>
      </c>
      <c r="E89" s="23">
        <v>53</v>
      </c>
      <c r="F89" s="45">
        <v>44811</v>
      </c>
      <c r="G89" s="222">
        <f t="shared" si="8"/>
        <v>1.0192307692307692</v>
      </c>
      <c r="H89" s="34">
        <f t="shared" si="9"/>
        <v>1</v>
      </c>
    </row>
    <row r="90" spans="1:8" ht="15.75">
      <c r="A90" s="18">
        <v>361</v>
      </c>
      <c r="B90" s="67" t="s">
        <v>77</v>
      </c>
      <c r="C90" s="23">
        <v>18</v>
      </c>
      <c r="D90" s="23">
        <v>18</v>
      </c>
      <c r="E90" s="23">
        <v>13</v>
      </c>
      <c r="F90" s="45">
        <v>44553</v>
      </c>
      <c r="G90" s="222">
        <f t="shared" si="8"/>
        <v>0.7222222222222222</v>
      </c>
      <c r="H90" s="34">
        <f t="shared" si="9"/>
        <v>-5</v>
      </c>
    </row>
    <row r="91" spans="1:8" ht="15.75">
      <c r="A91" s="18">
        <v>437</v>
      </c>
      <c r="B91" s="22" t="s">
        <v>78</v>
      </c>
      <c r="C91" s="23">
        <v>86</v>
      </c>
      <c r="D91" s="23">
        <v>75</v>
      </c>
      <c r="E91" s="23">
        <v>72</v>
      </c>
      <c r="F91" s="45">
        <v>44721</v>
      </c>
      <c r="G91" s="222">
        <f t="shared" si="8"/>
        <v>0.96</v>
      </c>
      <c r="H91" s="34">
        <f t="shared" si="9"/>
        <v>-3</v>
      </c>
    </row>
    <row r="92" spans="1:8" ht="15.75">
      <c r="A92" s="18">
        <v>440</v>
      </c>
      <c r="B92" s="22" t="s">
        <v>79</v>
      </c>
      <c r="C92" s="23">
        <v>166</v>
      </c>
      <c r="D92" s="23">
        <v>141</v>
      </c>
      <c r="E92" s="23">
        <v>170</v>
      </c>
      <c r="F92" s="80">
        <v>44740</v>
      </c>
      <c r="G92" s="222">
        <f t="shared" si="8"/>
        <v>1.2056737588652482</v>
      </c>
      <c r="H92" s="34">
        <f t="shared" si="9"/>
        <v>29</v>
      </c>
    </row>
    <row r="93" spans="1:8" ht="16.5" thickBot="1">
      <c r="A93" s="7">
        <v>442</v>
      </c>
      <c r="B93" s="22" t="s">
        <v>133</v>
      </c>
      <c r="C93" s="88">
        <v>17</v>
      </c>
      <c r="D93" s="88">
        <v>20</v>
      </c>
      <c r="E93" s="88">
        <v>26</v>
      </c>
      <c r="F93" s="89">
        <v>44732</v>
      </c>
      <c r="G93" s="223">
        <f t="shared" si="8"/>
        <v>1.3</v>
      </c>
      <c r="H93" s="42">
        <f t="shared" si="9"/>
        <v>6</v>
      </c>
    </row>
    <row r="94" spans="1:8" s="56" customFormat="1" ht="15.75">
      <c r="A94" s="18"/>
      <c r="B94" s="22" t="s">
        <v>7</v>
      </c>
      <c r="C94" s="46">
        <f>SUM(C67:C93)</f>
        <v>1269</v>
      </c>
      <c r="D94" s="46">
        <f>SUM(D67:D93)</f>
        <v>1130</v>
      </c>
      <c r="E94" s="46">
        <f>SUM(E67:E93)</f>
        <v>1256</v>
      </c>
      <c r="F94" s="49"/>
      <c r="G94" s="224">
        <f t="shared" si="8"/>
        <v>1.111504424778761</v>
      </c>
      <c r="H94" s="63">
        <f>E94-D94</f>
        <v>126</v>
      </c>
    </row>
    <row r="95" spans="1:8" ht="15.75">
      <c r="A95" s="18"/>
      <c r="B95" s="19"/>
      <c r="C95" s="15"/>
      <c r="D95" s="15"/>
      <c r="E95" s="15"/>
      <c r="F95" s="20" t="s">
        <v>22</v>
      </c>
      <c r="G95" s="225"/>
      <c r="H95" s="19" t="s">
        <v>2</v>
      </c>
    </row>
    <row r="96" spans="1:8" ht="16.5" thickBot="1">
      <c r="A96" s="18"/>
      <c r="B96" s="22" t="s">
        <v>15</v>
      </c>
      <c r="C96" s="121">
        <v>2020</v>
      </c>
      <c r="D96" s="121">
        <v>2021</v>
      </c>
      <c r="E96" s="121">
        <v>2022</v>
      </c>
      <c r="F96" s="44" t="s">
        <v>34</v>
      </c>
      <c r="G96" s="226" t="s">
        <v>1</v>
      </c>
      <c r="H96" s="41">
        <v>1</v>
      </c>
    </row>
    <row r="97" spans="1:8" ht="15.75">
      <c r="A97" s="18">
        <v>18</v>
      </c>
      <c r="B97" s="22" t="s">
        <v>80</v>
      </c>
      <c r="C97" s="50">
        <v>221</v>
      </c>
      <c r="D97" s="50">
        <v>238</v>
      </c>
      <c r="E97" s="50">
        <v>218</v>
      </c>
      <c r="F97" s="51">
        <v>44749</v>
      </c>
      <c r="G97" s="222">
        <f aca="true" t="shared" si="10" ref="G97:G111">E97/D97</f>
        <v>0.9159663865546218</v>
      </c>
      <c r="H97" s="34">
        <f aca="true" t="shared" si="11" ref="H97:H110">E97-D97</f>
        <v>-20</v>
      </c>
    </row>
    <row r="98" spans="1:8" ht="15.75">
      <c r="A98" s="18">
        <v>24</v>
      </c>
      <c r="B98" s="22" t="s">
        <v>81</v>
      </c>
      <c r="C98" s="23">
        <v>152</v>
      </c>
      <c r="D98" s="23">
        <v>152</v>
      </c>
      <c r="E98" s="23">
        <v>152</v>
      </c>
      <c r="F98" s="80">
        <v>44663</v>
      </c>
      <c r="G98" s="222">
        <f t="shared" si="10"/>
        <v>1</v>
      </c>
      <c r="H98" s="34">
        <f t="shared" si="11"/>
        <v>0</v>
      </c>
    </row>
    <row r="99" spans="1:8" ht="15.75">
      <c r="A99" s="18">
        <v>75</v>
      </c>
      <c r="B99" s="67" t="s">
        <v>165</v>
      </c>
      <c r="C99" s="23">
        <v>1</v>
      </c>
      <c r="D99" s="23">
        <v>1</v>
      </c>
      <c r="E99" s="23">
        <v>1</v>
      </c>
      <c r="F99" s="80">
        <v>44637</v>
      </c>
      <c r="G99" s="222">
        <f t="shared" si="10"/>
        <v>1</v>
      </c>
      <c r="H99" s="178">
        <f t="shared" si="11"/>
        <v>0</v>
      </c>
    </row>
    <row r="100" spans="1:254" ht="15.75">
      <c r="A100" s="18">
        <v>79</v>
      </c>
      <c r="B100" s="22" t="s">
        <v>82</v>
      </c>
      <c r="C100" s="23">
        <v>22</v>
      </c>
      <c r="D100" s="23">
        <v>23</v>
      </c>
      <c r="E100" s="23">
        <v>27</v>
      </c>
      <c r="F100" s="24">
        <v>44628</v>
      </c>
      <c r="G100" s="222">
        <f t="shared" si="10"/>
        <v>1.173913043478261</v>
      </c>
      <c r="H100" s="34">
        <f t="shared" si="11"/>
        <v>4</v>
      </c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</row>
    <row r="101" spans="1:254" ht="15.75">
      <c r="A101" s="18">
        <v>95</v>
      </c>
      <c r="B101" s="67" t="s">
        <v>173</v>
      </c>
      <c r="C101" s="23"/>
      <c r="D101" s="23">
        <v>6</v>
      </c>
      <c r="E101" s="23">
        <v>13</v>
      </c>
      <c r="F101" s="24">
        <v>44656</v>
      </c>
      <c r="G101" s="222">
        <f t="shared" si="10"/>
        <v>2.1666666666666665</v>
      </c>
      <c r="H101" s="34">
        <f t="shared" si="11"/>
        <v>7</v>
      </c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</row>
    <row r="102" spans="1:8" ht="16.5" customHeight="1">
      <c r="A102" s="18">
        <v>106</v>
      </c>
      <c r="B102" s="22" t="s">
        <v>84</v>
      </c>
      <c r="C102" s="23">
        <v>56</v>
      </c>
      <c r="D102" s="23">
        <v>56</v>
      </c>
      <c r="E102" s="23">
        <v>55</v>
      </c>
      <c r="F102" s="24">
        <v>44706</v>
      </c>
      <c r="G102" s="222">
        <f t="shared" si="10"/>
        <v>0.9821428571428571</v>
      </c>
      <c r="H102" s="34">
        <f t="shared" si="11"/>
        <v>-1</v>
      </c>
    </row>
    <row r="103" spans="1:8" ht="15.75">
      <c r="A103" s="18">
        <v>110</v>
      </c>
      <c r="B103" s="22" t="s">
        <v>85</v>
      </c>
      <c r="C103" s="23">
        <v>22</v>
      </c>
      <c r="D103" s="23">
        <v>26</v>
      </c>
      <c r="E103" s="23">
        <v>26</v>
      </c>
      <c r="F103" s="24">
        <v>44686</v>
      </c>
      <c r="G103" s="222">
        <f t="shared" si="10"/>
        <v>1</v>
      </c>
      <c r="H103" s="34">
        <f t="shared" si="11"/>
        <v>0</v>
      </c>
    </row>
    <row r="104" spans="1:8" ht="15.75">
      <c r="A104" s="18">
        <v>114</v>
      </c>
      <c r="B104" s="22" t="s">
        <v>86</v>
      </c>
      <c r="C104" s="23">
        <v>43</v>
      </c>
      <c r="D104" s="23">
        <v>0</v>
      </c>
      <c r="E104" s="23">
        <v>42</v>
      </c>
      <c r="F104" s="24">
        <v>44656</v>
      </c>
      <c r="G104" s="222" t="e">
        <f t="shared" si="10"/>
        <v>#DIV/0!</v>
      </c>
      <c r="H104" s="34">
        <f t="shared" si="11"/>
        <v>42</v>
      </c>
    </row>
    <row r="105" spans="1:8" ht="15.75">
      <c r="A105" s="18">
        <v>118</v>
      </c>
      <c r="B105" s="22" t="s">
        <v>87</v>
      </c>
      <c r="C105" s="23">
        <v>67</v>
      </c>
      <c r="D105" s="23">
        <v>76</v>
      </c>
      <c r="E105" s="23">
        <v>94</v>
      </c>
      <c r="F105" s="24">
        <v>44663</v>
      </c>
      <c r="G105" s="222">
        <f t="shared" si="10"/>
        <v>1.236842105263158</v>
      </c>
      <c r="H105" s="34">
        <f t="shared" si="11"/>
        <v>18</v>
      </c>
    </row>
    <row r="106" spans="1:8" ht="15.75">
      <c r="A106" s="18">
        <v>209</v>
      </c>
      <c r="B106" s="22" t="s">
        <v>127</v>
      </c>
      <c r="C106" s="23">
        <v>32</v>
      </c>
      <c r="D106" s="23">
        <v>33</v>
      </c>
      <c r="E106" s="23">
        <v>38</v>
      </c>
      <c r="F106" s="24">
        <v>44504</v>
      </c>
      <c r="G106" s="222">
        <f t="shared" si="10"/>
        <v>1.1515151515151516</v>
      </c>
      <c r="H106" s="34">
        <f t="shared" si="11"/>
        <v>5</v>
      </c>
    </row>
    <row r="107" spans="1:8" ht="15.75">
      <c r="A107" s="18">
        <v>225</v>
      </c>
      <c r="B107" s="22" t="s">
        <v>89</v>
      </c>
      <c r="C107" s="23">
        <v>25</v>
      </c>
      <c r="D107" s="23">
        <v>29</v>
      </c>
      <c r="E107" s="23">
        <v>36</v>
      </c>
      <c r="F107" s="24">
        <v>44641</v>
      </c>
      <c r="G107" s="222">
        <f t="shared" si="10"/>
        <v>1.2413793103448276</v>
      </c>
      <c r="H107" s="34">
        <f t="shared" si="11"/>
        <v>7</v>
      </c>
    </row>
    <row r="108" spans="1:8" ht="15.75">
      <c r="A108" s="18">
        <v>294</v>
      </c>
      <c r="B108" s="22" t="s">
        <v>29</v>
      </c>
      <c r="C108" s="23">
        <v>67</v>
      </c>
      <c r="D108" s="23">
        <v>123</v>
      </c>
      <c r="E108" s="23">
        <v>155</v>
      </c>
      <c r="F108" s="24">
        <v>44532</v>
      </c>
      <c r="G108" s="222">
        <f t="shared" si="10"/>
        <v>1.2601626016260163</v>
      </c>
      <c r="H108" s="34">
        <f t="shared" si="11"/>
        <v>32</v>
      </c>
    </row>
    <row r="109" spans="1:8" ht="15.75">
      <c r="A109" s="18">
        <v>380</v>
      </c>
      <c r="B109" s="22" t="s">
        <v>91</v>
      </c>
      <c r="C109" s="23">
        <v>12</v>
      </c>
      <c r="D109" s="23">
        <v>9</v>
      </c>
      <c r="E109" s="23">
        <v>8</v>
      </c>
      <c r="F109" s="24">
        <v>44509</v>
      </c>
      <c r="G109" s="222">
        <f t="shared" si="10"/>
        <v>0.8888888888888888</v>
      </c>
      <c r="H109" s="34">
        <f t="shared" si="11"/>
        <v>-1</v>
      </c>
    </row>
    <row r="110" spans="1:8" ht="16.5" thickBot="1">
      <c r="A110" s="18">
        <v>382</v>
      </c>
      <c r="B110" s="22" t="s">
        <v>90</v>
      </c>
      <c r="C110" s="52">
        <v>74</v>
      </c>
      <c r="D110" s="52">
        <v>88</v>
      </c>
      <c r="E110" s="52">
        <v>77</v>
      </c>
      <c r="F110" s="53">
        <v>44716</v>
      </c>
      <c r="G110" s="223">
        <f t="shared" si="10"/>
        <v>0.875</v>
      </c>
      <c r="H110" s="42">
        <f t="shared" si="11"/>
        <v>-11</v>
      </c>
    </row>
    <row r="111" spans="1:8" s="56" customFormat="1" ht="15.75">
      <c r="A111" s="18"/>
      <c r="B111" s="22" t="s">
        <v>7</v>
      </c>
      <c r="C111" s="46">
        <f>SUM(C97:C110)</f>
        <v>794</v>
      </c>
      <c r="D111" s="46">
        <f>SUM(D97:D110)</f>
        <v>860</v>
      </c>
      <c r="E111" s="46">
        <f>SUM(E97:E110)</f>
        <v>942</v>
      </c>
      <c r="F111" s="49"/>
      <c r="G111" s="224">
        <f t="shared" si="10"/>
        <v>1.0953488372093023</v>
      </c>
      <c r="H111" s="63">
        <f>E111-D111</f>
        <v>82</v>
      </c>
    </row>
    <row r="112" spans="1:8" ht="15.75">
      <c r="A112" s="18"/>
      <c r="B112" s="22"/>
      <c r="C112" s="15"/>
      <c r="D112" s="15"/>
      <c r="E112" s="15"/>
      <c r="F112" s="20" t="s">
        <v>22</v>
      </c>
      <c r="G112" s="225"/>
      <c r="H112" s="19" t="s">
        <v>2</v>
      </c>
    </row>
    <row r="113" spans="1:8" ht="16.5" thickBot="1">
      <c r="A113" s="18"/>
      <c r="B113" s="22" t="s">
        <v>16</v>
      </c>
      <c r="C113" s="121">
        <v>2020</v>
      </c>
      <c r="D113" s="121">
        <v>2021</v>
      </c>
      <c r="E113" s="121">
        <v>2022</v>
      </c>
      <c r="F113" s="20" t="s">
        <v>34</v>
      </c>
      <c r="G113" s="226" t="s">
        <v>1</v>
      </c>
      <c r="H113" s="41">
        <v>1</v>
      </c>
    </row>
    <row r="114" spans="1:8" ht="15.75">
      <c r="A114" s="18">
        <v>16</v>
      </c>
      <c r="B114" s="22" t="s">
        <v>92</v>
      </c>
      <c r="C114" s="37">
        <v>37</v>
      </c>
      <c r="D114" s="37">
        <v>37</v>
      </c>
      <c r="E114" s="37">
        <v>37</v>
      </c>
      <c r="F114" s="38">
        <v>44600</v>
      </c>
      <c r="G114" s="222">
        <f aca="true" t="shared" si="12" ref="G114:G120">E114/D114</f>
        <v>1</v>
      </c>
      <c r="H114" s="34">
        <f aca="true" t="shared" si="13" ref="H114:H120">E114-D114</f>
        <v>0</v>
      </c>
    </row>
    <row r="115" spans="1:8" ht="15.75">
      <c r="A115" s="18">
        <v>26</v>
      </c>
      <c r="B115" s="67" t="s">
        <v>135</v>
      </c>
      <c r="C115" s="90">
        <v>6</v>
      </c>
      <c r="D115" s="90">
        <v>4</v>
      </c>
      <c r="E115" s="90">
        <f>1+3</f>
        <v>4</v>
      </c>
      <c r="F115" s="91">
        <v>44448</v>
      </c>
      <c r="G115" s="222">
        <f t="shared" si="12"/>
        <v>1</v>
      </c>
      <c r="H115" s="34">
        <f t="shared" si="13"/>
        <v>0</v>
      </c>
    </row>
    <row r="116" spans="1:8" ht="15.75">
      <c r="A116" s="18">
        <v>61</v>
      </c>
      <c r="B116" s="67" t="s">
        <v>134</v>
      </c>
      <c r="C116" s="31">
        <v>20</v>
      </c>
      <c r="D116" s="31">
        <v>18</v>
      </c>
      <c r="E116" s="31">
        <v>19</v>
      </c>
      <c r="F116" s="32">
        <v>44593</v>
      </c>
      <c r="G116" s="222">
        <f t="shared" si="12"/>
        <v>1.0555555555555556</v>
      </c>
      <c r="H116" s="34">
        <f t="shared" si="13"/>
        <v>1</v>
      </c>
    </row>
    <row r="117" spans="1:8" ht="15.75">
      <c r="A117" s="18">
        <v>78</v>
      </c>
      <c r="B117" s="22" t="s">
        <v>93</v>
      </c>
      <c r="C117" s="31">
        <v>58</v>
      </c>
      <c r="D117" s="31">
        <v>62</v>
      </c>
      <c r="E117" s="31">
        <v>65</v>
      </c>
      <c r="F117" s="32">
        <v>44686</v>
      </c>
      <c r="G117" s="222">
        <f t="shared" si="12"/>
        <v>1.0483870967741935</v>
      </c>
      <c r="H117" s="34">
        <f t="shared" si="13"/>
        <v>3</v>
      </c>
    </row>
    <row r="118" spans="1:8" ht="15.75">
      <c r="A118" s="18">
        <v>117</v>
      </c>
      <c r="B118" s="67" t="s">
        <v>136</v>
      </c>
      <c r="C118" s="31">
        <f>3</f>
        <v>3</v>
      </c>
      <c r="D118" s="31">
        <v>3</v>
      </c>
      <c r="E118" s="31">
        <v>3</v>
      </c>
      <c r="F118" s="32">
        <v>44476</v>
      </c>
      <c r="G118" s="222">
        <f t="shared" si="12"/>
        <v>1</v>
      </c>
      <c r="H118" s="111">
        <f t="shared" si="13"/>
        <v>0</v>
      </c>
    </row>
    <row r="119" spans="1:8" ht="16.5" thickBot="1">
      <c r="A119" s="170">
        <v>368</v>
      </c>
      <c r="B119" s="67" t="s">
        <v>159</v>
      </c>
      <c r="C119" s="35">
        <f>7</f>
        <v>7</v>
      </c>
      <c r="D119" s="35">
        <v>13</v>
      </c>
      <c r="E119" s="35">
        <v>13</v>
      </c>
      <c r="F119" s="97">
        <v>44763</v>
      </c>
      <c r="G119" s="223">
        <f t="shared" si="12"/>
        <v>1</v>
      </c>
      <c r="H119" s="179">
        <f t="shared" si="13"/>
        <v>0</v>
      </c>
    </row>
    <row r="120" spans="1:8" s="56" customFormat="1" ht="15.75">
      <c r="A120" s="18"/>
      <c r="B120" s="22" t="s">
        <v>7</v>
      </c>
      <c r="C120" s="46">
        <f>SUM(C114:C119)</f>
        <v>131</v>
      </c>
      <c r="D120" s="46">
        <f>SUM(D114:D119)</f>
        <v>137</v>
      </c>
      <c r="E120" s="46">
        <f>SUM(E114:E119)</f>
        <v>141</v>
      </c>
      <c r="F120" s="49"/>
      <c r="G120" s="224">
        <f t="shared" si="12"/>
        <v>1.0291970802919708</v>
      </c>
      <c r="H120" s="63">
        <f t="shared" si="13"/>
        <v>4</v>
      </c>
    </row>
    <row r="121" spans="1:10" ht="15.75">
      <c r="A121" s="18"/>
      <c r="B121" s="22"/>
      <c r="C121" s="15"/>
      <c r="D121" s="15"/>
      <c r="E121" s="15"/>
      <c r="F121" s="20" t="s">
        <v>22</v>
      </c>
      <c r="G121" s="225"/>
      <c r="H121" s="19" t="s">
        <v>2</v>
      </c>
      <c r="J121" s="54" t="s">
        <v>0</v>
      </c>
    </row>
    <row r="122" spans="1:8" ht="16.5" thickBot="1">
      <c r="A122" s="18"/>
      <c r="B122" s="22" t="s">
        <v>17</v>
      </c>
      <c r="C122" s="121">
        <v>2020</v>
      </c>
      <c r="D122" s="121">
        <v>2021</v>
      </c>
      <c r="E122" s="121">
        <v>2022</v>
      </c>
      <c r="F122" s="20" t="s">
        <v>34</v>
      </c>
      <c r="G122" s="226" t="s">
        <v>1</v>
      </c>
      <c r="H122" s="41">
        <v>1</v>
      </c>
    </row>
    <row r="123" spans="1:8" ht="15.75">
      <c r="A123" s="18">
        <v>3</v>
      </c>
      <c r="B123" s="22" t="s">
        <v>94</v>
      </c>
      <c r="C123" s="50">
        <v>59</v>
      </c>
      <c r="D123" s="50">
        <v>35</v>
      </c>
      <c r="E123" s="50">
        <v>66</v>
      </c>
      <c r="F123" s="99">
        <v>44811</v>
      </c>
      <c r="G123" s="222">
        <f aca="true" t="shared" si="14" ref="G123:G131">E123/D123</f>
        <v>1.8857142857142857</v>
      </c>
      <c r="H123" s="34">
        <f aca="true" t="shared" si="15" ref="H123:H130">E123-D123</f>
        <v>31</v>
      </c>
    </row>
    <row r="124" spans="1:8" ht="15.75">
      <c r="A124" s="18">
        <v>4</v>
      </c>
      <c r="B124" s="22" t="s">
        <v>95</v>
      </c>
      <c r="C124" s="23">
        <v>61</v>
      </c>
      <c r="D124" s="23">
        <v>61</v>
      </c>
      <c r="E124" s="23">
        <v>67</v>
      </c>
      <c r="F124" s="45">
        <v>44732</v>
      </c>
      <c r="G124" s="222">
        <f t="shared" si="14"/>
        <v>1.098360655737705</v>
      </c>
      <c r="H124" s="34">
        <f t="shared" si="15"/>
        <v>6</v>
      </c>
    </row>
    <row r="125" spans="1:8" ht="15.75">
      <c r="A125" s="18">
        <v>6</v>
      </c>
      <c r="B125" s="67" t="s">
        <v>96</v>
      </c>
      <c r="C125" s="23">
        <v>6</v>
      </c>
      <c r="D125" s="23">
        <v>21</v>
      </c>
      <c r="E125" s="23">
        <v>28</v>
      </c>
      <c r="F125" s="45">
        <v>44658</v>
      </c>
      <c r="G125" s="222">
        <f t="shared" si="14"/>
        <v>1.3333333333333333</v>
      </c>
      <c r="H125" s="34">
        <f t="shared" si="15"/>
        <v>7</v>
      </c>
    </row>
    <row r="126" spans="1:8" ht="15.75">
      <c r="A126" s="18">
        <v>113</v>
      </c>
      <c r="B126" s="22" t="s">
        <v>97</v>
      </c>
      <c r="C126" s="23">
        <v>76</v>
      </c>
      <c r="D126" s="23">
        <v>68</v>
      </c>
      <c r="E126" s="23">
        <v>63</v>
      </c>
      <c r="F126" s="24">
        <v>44732</v>
      </c>
      <c r="G126" s="222">
        <f t="shared" si="14"/>
        <v>0.9264705882352942</v>
      </c>
      <c r="H126" s="34">
        <f t="shared" si="15"/>
        <v>-5</v>
      </c>
    </row>
    <row r="127" spans="1:8" ht="15.75">
      <c r="A127" s="18">
        <v>122</v>
      </c>
      <c r="B127" s="22" t="s">
        <v>124</v>
      </c>
      <c r="C127" s="23">
        <v>24</v>
      </c>
      <c r="D127" s="23">
        <v>12</v>
      </c>
      <c r="E127" s="23">
        <v>16</v>
      </c>
      <c r="F127" s="24">
        <v>44641</v>
      </c>
      <c r="G127" s="222">
        <f t="shared" si="14"/>
        <v>1.3333333333333333</v>
      </c>
      <c r="H127" s="34">
        <f t="shared" si="15"/>
        <v>4</v>
      </c>
    </row>
    <row r="128" spans="1:254" ht="15.75">
      <c r="A128" s="18">
        <v>194</v>
      </c>
      <c r="B128" s="22" t="s">
        <v>98</v>
      </c>
      <c r="C128" s="70">
        <v>66</v>
      </c>
      <c r="D128" s="70">
        <v>40</v>
      </c>
      <c r="E128" s="70">
        <v>40</v>
      </c>
      <c r="F128" s="24">
        <v>44600</v>
      </c>
      <c r="G128" s="222">
        <f t="shared" si="14"/>
        <v>1</v>
      </c>
      <c r="H128" s="34">
        <f t="shared" si="15"/>
        <v>0</v>
      </c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</row>
    <row r="129" spans="1:8" ht="15.75">
      <c r="A129" s="18">
        <v>227</v>
      </c>
      <c r="B129" s="22" t="s">
        <v>100</v>
      </c>
      <c r="C129" s="23">
        <v>89</v>
      </c>
      <c r="D129" s="23">
        <v>81</v>
      </c>
      <c r="E129" s="23">
        <v>82</v>
      </c>
      <c r="F129" s="45">
        <v>44761</v>
      </c>
      <c r="G129" s="222">
        <f>E129/D129</f>
        <v>1.0123456790123457</v>
      </c>
      <c r="H129" s="34">
        <f t="shared" si="15"/>
        <v>1</v>
      </c>
    </row>
    <row r="130" spans="1:8" ht="16.5" thickBot="1">
      <c r="A130" s="18">
        <v>331</v>
      </c>
      <c r="B130" s="22" t="s">
        <v>101</v>
      </c>
      <c r="C130" s="52">
        <v>65</v>
      </c>
      <c r="D130" s="52">
        <v>29</v>
      </c>
      <c r="E130" s="52">
        <v>26</v>
      </c>
      <c r="F130" s="182">
        <v>44784</v>
      </c>
      <c r="G130" s="223">
        <f t="shared" si="14"/>
        <v>0.896551724137931</v>
      </c>
      <c r="H130" s="42">
        <f t="shared" si="15"/>
        <v>-3</v>
      </c>
    </row>
    <row r="131" spans="1:8" s="56" customFormat="1" ht="15.75">
      <c r="A131" s="18"/>
      <c r="B131" s="137" t="s">
        <v>7</v>
      </c>
      <c r="C131" s="64">
        <f>SUM(C123:C130)</f>
        <v>446</v>
      </c>
      <c r="D131" s="64">
        <f>SUM(D123:D130)</f>
        <v>347</v>
      </c>
      <c r="E131" s="64">
        <f>SUM(E123:E130)</f>
        <v>388</v>
      </c>
      <c r="F131" s="49"/>
      <c r="G131" s="224">
        <f t="shared" si="14"/>
        <v>1.1181556195965419</v>
      </c>
      <c r="H131" s="63">
        <f>E131-D131</f>
        <v>41</v>
      </c>
    </row>
    <row r="132" spans="1:8" ht="15.75">
      <c r="A132" s="18"/>
      <c r="B132" s="19"/>
      <c r="C132" s="15"/>
      <c r="D132" s="15"/>
      <c r="E132" s="15"/>
      <c r="F132" s="20" t="s">
        <v>22</v>
      </c>
      <c r="G132" s="225"/>
      <c r="H132" s="19" t="s">
        <v>2</v>
      </c>
    </row>
    <row r="133" spans="1:8" ht="16.5" thickBot="1">
      <c r="A133" s="18"/>
      <c r="B133" s="22" t="s">
        <v>18</v>
      </c>
      <c r="C133" s="121">
        <v>2020</v>
      </c>
      <c r="D133" s="121">
        <v>2021</v>
      </c>
      <c r="E133" s="121">
        <v>2022</v>
      </c>
      <c r="F133" s="20" t="s">
        <v>34</v>
      </c>
      <c r="G133" s="230" t="s">
        <v>1</v>
      </c>
      <c r="H133" s="48">
        <v>1</v>
      </c>
    </row>
    <row r="134" spans="1:8" ht="15.75">
      <c r="A134" s="18">
        <v>1</v>
      </c>
      <c r="B134" s="67" t="s">
        <v>151</v>
      </c>
      <c r="C134" s="138">
        <f>5</f>
        <v>5</v>
      </c>
      <c r="D134" s="138">
        <v>5</v>
      </c>
      <c r="E134" s="138">
        <v>5</v>
      </c>
      <c r="F134" s="134">
        <v>44676</v>
      </c>
      <c r="G134" s="221">
        <f>E134/D134</f>
        <v>1</v>
      </c>
      <c r="H134" s="140">
        <f>E134-D134</f>
        <v>0</v>
      </c>
    </row>
    <row r="135" spans="1:8" ht="15.75">
      <c r="A135" s="170">
        <v>49</v>
      </c>
      <c r="B135" s="67" t="s">
        <v>157</v>
      </c>
      <c r="C135" s="156">
        <f>1+1</f>
        <v>2</v>
      </c>
      <c r="D135" s="156">
        <v>0</v>
      </c>
      <c r="E135" s="156">
        <f>0</f>
        <v>0</v>
      </c>
      <c r="F135" s="157"/>
      <c r="G135" s="227" t="e">
        <f aca="true" t="shared" si="16" ref="G135:G145">E135/D135</f>
        <v>#DIV/0!</v>
      </c>
      <c r="H135" s="158">
        <f>E135-D135</f>
        <v>0</v>
      </c>
    </row>
    <row r="136" spans="1:8" ht="15.75">
      <c r="A136" s="18">
        <v>121</v>
      </c>
      <c r="B136" s="22" t="s">
        <v>102</v>
      </c>
      <c r="C136" s="90">
        <f>4+7+3</f>
        <v>14</v>
      </c>
      <c r="D136" s="90">
        <v>23</v>
      </c>
      <c r="E136" s="90">
        <v>44</v>
      </c>
      <c r="F136" s="91">
        <v>44686</v>
      </c>
      <c r="G136" s="227">
        <f t="shared" si="16"/>
        <v>1.9130434782608696</v>
      </c>
      <c r="H136" s="131">
        <f aca="true" t="shared" si="17" ref="H136:H144">E136-D136</f>
        <v>21</v>
      </c>
    </row>
    <row r="137" spans="1:8" ht="15.75">
      <c r="A137" s="170">
        <v>166</v>
      </c>
      <c r="B137" s="67" t="s">
        <v>158</v>
      </c>
      <c r="C137" s="159">
        <v>7</v>
      </c>
      <c r="D137" s="31">
        <v>7</v>
      </c>
      <c r="E137" s="31">
        <v>7</v>
      </c>
      <c r="F137" s="160">
        <v>44399</v>
      </c>
      <c r="G137" s="227">
        <f t="shared" si="16"/>
        <v>1</v>
      </c>
      <c r="H137" s="34">
        <f t="shared" si="17"/>
        <v>0</v>
      </c>
    </row>
    <row r="138" spans="1:8" ht="15.75">
      <c r="A138" s="18">
        <v>222</v>
      </c>
      <c r="B138" s="22" t="s">
        <v>103</v>
      </c>
      <c r="C138" s="100">
        <v>10</v>
      </c>
      <c r="D138" s="100">
        <v>11</v>
      </c>
      <c r="E138" s="100">
        <v>12</v>
      </c>
      <c r="F138" s="58">
        <v>44666</v>
      </c>
      <c r="G138" s="227">
        <f t="shared" si="16"/>
        <v>1.0909090909090908</v>
      </c>
      <c r="H138" s="34">
        <f t="shared" si="17"/>
        <v>1</v>
      </c>
    </row>
    <row r="139" spans="1:8" ht="15.75">
      <c r="A139" s="18">
        <v>228</v>
      </c>
      <c r="B139" s="67" t="s">
        <v>130</v>
      </c>
      <c r="C139" s="31">
        <v>62</v>
      </c>
      <c r="D139" s="31">
        <v>35</v>
      </c>
      <c r="E139" s="31">
        <v>37</v>
      </c>
      <c r="F139" s="79">
        <v>44672</v>
      </c>
      <c r="G139" s="222">
        <f t="shared" si="16"/>
        <v>1.0571428571428572</v>
      </c>
      <c r="H139" s="34">
        <f t="shared" si="17"/>
        <v>2</v>
      </c>
    </row>
    <row r="140" spans="1:9" ht="15.75">
      <c r="A140" s="18">
        <v>302</v>
      </c>
      <c r="B140" s="22" t="s">
        <v>104</v>
      </c>
      <c r="C140" s="100">
        <v>42</v>
      </c>
      <c r="D140" s="100">
        <v>39</v>
      </c>
      <c r="E140" s="100">
        <v>45</v>
      </c>
      <c r="F140" s="24">
        <v>44740</v>
      </c>
      <c r="G140" s="222">
        <f t="shared" si="16"/>
        <v>1.1538461538461537</v>
      </c>
      <c r="H140" s="34">
        <f t="shared" si="17"/>
        <v>6</v>
      </c>
      <c r="I140" s="29"/>
    </row>
    <row r="141" spans="1:8" ht="15.75">
      <c r="A141" s="18">
        <v>303</v>
      </c>
      <c r="B141" s="22" t="s">
        <v>30</v>
      </c>
      <c r="C141" s="100">
        <f>18+1</f>
        <v>19</v>
      </c>
      <c r="D141" s="100">
        <v>21</v>
      </c>
      <c r="E141" s="100">
        <v>14</v>
      </c>
      <c r="F141" s="24">
        <v>44574</v>
      </c>
      <c r="G141" s="222">
        <f t="shared" si="16"/>
        <v>0.6666666666666666</v>
      </c>
      <c r="H141" s="34">
        <f t="shared" si="17"/>
        <v>-7</v>
      </c>
    </row>
    <row r="142" spans="1:8" ht="15.75">
      <c r="A142" s="18">
        <v>311</v>
      </c>
      <c r="B142" s="22" t="s">
        <v>105</v>
      </c>
      <c r="C142" s="117">
        <f>29</f>
        <v>29</v>
      </c>
      <c r="D142" s="117">
        <v>30</v>
      </c>
      <c r="E142" s="117">
        <v>31</v>
      </c>
      <c r="F142" s="24">
        <v>44553</v>
      </c>
      <c r="G142" s="222">
        <f t="shared" si="16"/>
        <v>1.0333333333333334</v>
      </c>
      <c r="H142" s="34">
        <f t="shared" si="17"/>
        <v>1</v>
      </c>
    </row>
    <row r="143" spans="1:8" ht="15.75">
      <c r="A143" s="18">
        <v>312</v>
      </c>
      <c r="B143" s="22" t="s">
        <v>106</v>
      </c>
      <c r="C143" s="101">
        <v>31</v>
      </c>
      <c r="D143" s="101">
        <v>32</v>
      </c>
      <c r="E143" s="101">
        <v>29</v>
      </c>
      <c r="F143" s="24">
        <v>44644</v>
      </c>
      <c r="G143" s="222">
        <f t="shared" si="16"/>
        <v>0.90625</v>
      </c>
      <c r="H143" s="34">
        <f t="shared" si="17"/>
        <v>-3</v>
      </c>
    </row>
    <row r="144" spans="1:8" ht="16.5" thickBot="1">
      <c r="A144" s="18">
        <v>405</v>
      </c>
      <c r="B144" s="22" t="s">
        <v>122</v>
      </c>
      <c r="C144" s="52">
        <v>27</v>
      </c>
      <c r="D144" s="52">
        <v>24</v>
      </c>
      <c r="E144" s="52">
        <v>31</v>
      </c>
      <c r="F144" s="53">
        <v>44664</v>
      </c>
      <c r="G144" s="223">
        <f t="shared" si="16"/>
        <v>1.2916666666666667</v>
      </c>
      <c r="H144" s="42">
        <f t="shared" si="17"/>
        <v>7</v>
      </c>
    </row>
    <row r="145" spans="1:8" s="56" customFormat="1" ht="15.75">
      <c r="A145" s="18"/>
      <c r="B145" s="22" t="s">
        <v>7</v>
      </c>
      <c r="C145" s="46">
        <f>SUM(C134:C144)</f>
        <v>248</v>
      </c>
      <c r="D145" s="46">
        <f>SUM(D134:D144)</f>
        <v>227</v>
      </c>
      <c r="E145" s="46">
        <f>SUM(E134:E144)</f>
        <v>255</v>
      </c>
      <c r="F145" s="49"/>
      <c r="G145" s="224">
        <f t="shared" si="16"/>
        <v>1.1233480176211454</v>
      </c>
      <c r="H145" s="63">
        <f>E145-D145</f>
        <v>28</v>
      </c>
    </row>
    <row r="146" spans="1:8" ht="15.75">
      <c r="A146" s="18"/>
      <c r="B146" s="22"/>
      <c r="C146" s="15"/>
      <c r="D146" s="15"/>
      <c r="E146" s="15"/>
      <c r="F146" s="20" t="s">
        <v>22</v>
      </c>
      <c r="G146" s="225"/>
      <c r="H146" s="19" t="s">
        <v>2</v>
      </c>
    </row>
    <row r="147" spans="1:8" ht="16.5" thickBot="1">
      <c r="A147" s="18"/>
      <c r="B147" s="22" t="s">
        <v>19</v>
      </c>
      <c r="C147" s="121">
        <v>2020</v>
      </c>
      <c r="D147" s="121">
        <v>2021</v>
      </c>
      <c r="E147" s="121">
        <v>2022</v>
      </c>
      <c r="F147" s="44" t="s">
        <v>34</v>
      </c>
      <c r="G147" s="226" t="s">
        <v>1</v>
      </c>
      <c r="H147" s="41">
        <v>1</v>
      </c>
    </row>
    <row r="148" spans="1:8" ht="15.75">
      <c r="A148" s="18">
        <v>22</v>
      </c>
      <c r="B148" s="22" t="s">
        <v>108</v>
      </c>
      <c r="C148" s="68">
        <v>46</v>
      </c>
      <c r="D148" s="68">
        <v>77</v>
      </c>
      <c r="E148" s="68">
        <v>76</v>
      </c>
      <c r="F148" s="58">
        <v>44811</v>
      </c>
      <c r="G148" s="222">
        <f aca="true" t="shared" si="18" ref="G148:G161">E148/D148</f>
        <v>0.987012987012987</v>
      </c>
      <c r="H148" s="34">
        <f aca="true" t="shared" si="19" ref="H148:H160">E148-D148</f>
        <v>-1</v>
      </c>
    </row>
    <row r="149" spans="1:254" ht="15.75">
      <c r="A149" s="18">
        <v>40</v>
      </c>
      <c r="B149" s="22" t="s">
        <v>109</v>
      </c>
      <c r="C149" s="105">
        <v>220</v>
      </c>
      <c r="D149" s="105">
        <v>225</v>
      </c>
      <c r="E149" s="105">
        <v>269</v>
      </c>
      <c r="F149" s="80">
        <v>44811</v>
      </c>
      <c r="G149" s="222">
        <f t="shared" si="18"/>
        <v>1.1955555555555555</v>
      </c>
      <c r="H149" s="34">
        <f t="shared" si="19"/>
        <v>44</v>
      </c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3"/>
      <c r="DQ149" s="43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</row>
    <row r="150" spans="1:8" ht="15.75">
      <c r="A150" s="18">
        <v>64</v>
      </c>
      <c r="B150" s="22" t="s">
        <v>110</v>
      </c>
      <c r="C150" s="110">
        <v>33</v>
      </c>
      <c r="D150" s="110">
        <v>31</v>
      </c>
      <c r="E150" s="110">
        <v>27</v>
      </c>
      <c r="F150" s="24">
        <v>44641</v>
      </c>
      <c r="G150" s="222">
        <f t="shared" si="18"/>
        <v>0.8709677419354839</v>
      </c>
      <c r="H150" s="34">
        <f t="shared" si="19"/>
        <v>-4</v>
      </c>
    </row>
    <row r="151" spans="1:8" ht="15.75">
      <c r="A151" s="18">
        <v>82</v>
      </c>
      <c r="B151" s="22" t="s">
        <v>31</v>
      </c>
      <c r="C151" s="105">
        <v>53</v>
      </c>
      <c r="D151" s="105">
        <v>45</v>
      </c>
      <c r="E151" s="105">
        <v>57</v>
      </c>
      <c r="F151" s="24">
        <v>44641</v>
      </c>
      <c r="G151" s="222">
        <f t="shared" si="18"/>
        <v>1.2666666666666666</v>
      </c>
      <c r="H151" s="34">
        <f t="shared" si="19"/>
        <v>12</v>
      </c>
    </row>
    <row r="152" spans="1:8" ht="15.75">
      <c r="A152" s="18">
        <v>88</v>
      </c>
      <c r="B152" s="22" t="s">
        <v>111</v>
      </c>
      <c r="C152" s="105">
        <f>12</f>
        <v>12</v>
      </c>
      <c r="D152" s="105">
        <v>12</v>
      </c>
      <c r="E152" s="105">
        <v>12</v>
      </c>
      <c r="F152" s="45">
        <v>44641</v>
      </c>
      <c r="G152" s="222">
        <f t="shared" si="18"/>
        <v>1</v>
      </c>
      <c r="H152" s="34">
        <f t="shared" si="19"/>
        <v>0</v>
      </c>
    </row>
    <row r="153" spans="1:8" ht="15.75">
      <c r="A153" s="18">
        <v>112</v>
      </c>
      <c r="B153" s="22" t="s">
        <v>112</v>
      </c>
      <c r="C153" s="105">
        <v>31</v>
      </c>
      <c r="D153" s="105">
        <v>31</v>
      </c>
      <c r="E153" s="105">
        <v>27</v>
      </c>
      <c r="F153" s="24">
        <v>44586</v>
      </c>
      <c r="G153" s="222">
        <f t="shared" si="18"/>
        <v>0.8709677419354839</v>
      </c>
      <c r="H153" s="34">
        <f t="shared" si="19"/>
        <v>-4</v>
      </c>
    </row>
    <row r="154" spans="1:8" ht="15.75">
      <c r="A154" s="18">
        <v>144</v>
      </c>
      <c r="B154" s="67" t="s">
        <v>149</v>
      </c>
      <c r="C154" s="105">
        <v>9</v>
      </c>
      <c r="D154" s="105">
        <v>10</v>
      </c>
      <c r="E154" s="105">
        <v>9</v>
      </c>
      <c r="F154" s="24">
        <v>44553</v>
      </c>
      <c r="G154" s="222">
        <f t="shared" si="18"/>
        <v>0.9</v>
      </c>
      <c r="H154" s="34">
        <f t="shared" si="19"/>
        <v>-1</v>
      </c>
    </row>
    <row r="155" spans="1:8" ht="15.75">
      <c r="A155" s="18">
        <v>149</v>
      </c>
      <c r="B155" s="22" t="s">
        <v>32</v>
      </c>
      <c r="C155" s="105">
        <v>42</v>
      </c>
      <c r="D155" s="105">
        <v>43</v>
      </c>
      <c r="E155" s="105">
        <v>42</v>
      </c>
      <c r="F155" s="24">
        <v>44672</v>
      </c>
      <c r="G155" s="222">
        <f t="shared" si="18"/>
        <v>0.9767441860465116</v>
      </c>
      <c r="H155" s="34">
        <f t="shared" si="19"/>
        <v>-1</v>
      </c>
    </row>
    <row r="156" spans="1:8" ht="15.75">
      <c r="A156" s="18">
        <v>188</v>
      </c>
      <c r="B156" s="22" t="s">
        <v>113</v>
      </c>
      <c r="C156" s="105">
        <v>151</v>
      </c>
      <c r="D156" s="105">
        <v>100</v>
      </c>
      <c r="E156" s="105">
        <v>126</v>
      </c>
      <c r="F156" s="24">
        <v>44811</v>
      </c>
      <c r="G156" s="222">
        <f t="shared" si="18"/>
        <v>1.26</v>
      </c>
      <c r="H156" s="34">
        <f t="shared" si="19"/>
        <v>26</v>
      </c>
    </row>
    <row r="157" spans="1:8" ht="15.75">
      <c r="A157" s="18">
        <v>192</v>
      </c>
      <c r="B157" s="22" t="s">
        <v>114</v>
      </c>
      <c r="C157" s="105">
        <v>2</v>
      </c>
      <c r="D157" s="105">
        <v>4</v>
      </c>
      <c r="E157" s="105">
        <f>0</f>
        <v>0</v>
      </c>
      <c r="F157" s="24"/>
      <c r="G157" s="222">
        <f t="shared" si="18"/>
        <v>0</v>
      </c>
      <c r="H157" s="34">
        <f t="shared" si="19"/>
        <v>-4</v>
      </c>
    </row>
    <row r="158" spans="1:8" ht="15.75">
      <c r="A158" s="18">
        <v>220</v>
      </c>
      <c r="B158" s="22" t="s">
        <v>115</v>
      </c>
      <c r="C158" s="105">
        <v>7</v>
      </c>
      <c r="D158" s="105">
        <v>7</v>
      </c>
      <c r="E158" s="105">
        <v>7</v>
      </c>
      <c r="F158" s="24">
        <v>44469</v>
      </c>
      <c r="G158" s="222">
        <f t="shared" si="18"/>
        <v>1</v>
      </c>
      <c r="H158" s="34">
        <f t="shared" si="19"/>
        <v>0</v>
      </c>
    </row>
    <row r="159" spans="1:8" ht="15.75">
      <c r="A159" s="18">
        <v>226</v>
      </c>
      <c r="B159" s="22" t="s">
        <v>116</v>
      </c>
      <c r="C159" s="105">
        <v>19</v>
      </c>
      <c r="D159" s="105">
        <v>12</v>
      </c>
      <c r="E159" s="105">
        <f>7</f>
        <v>7</v>
      </c>
      <c r="F159" s="24">
        <v>44406</v>
      </c>
      <c r="G159" s="222">
        <f t="shared" si="18"/>
        <v>0.5833333333333334</v>
      </c>
      <c r="H159" s="34">
        <f t="shared" si="19"/>
        <v>-5</v>
      </c>
    </row>
    <row r="160" spans="1:8" ht="15.75">
      <c r="A160" s="18">
        <v>257</v>
      </c>
      <c r="B160" s="22" t="s">
        <v>117</v>
      </c>
      <c r="C160" s="183">
        <v>12</v>
      </c>
      <c r="D160" s="183">
        <v>11</v>
      </c>
      <c r="E160" s="183">
        <v>11</v>
      </c>
      <c r="F160" s="184">
        <v>44586</v>
      </c>
      <c r="G160" s="222">
        <f t="shared" si="18"/>
        <v>1</v>
      </c>
      <c r="H160" s="34">
        <f t="shared" si="19"/>
        <v>0</v>
      </c>
    </row>
    <row r="161" spans="1:8" s="56" customFormat="1" ht="15.75">
      <c r="A161" s="18" t="s">
        <v>0</v>
      </c>
      <c r="B161" s="22" t="s">
        <v>7</v>
      </c>
      <c r="C161" s="46">
        <f>SUM(C148:C160)</f>
        <v>637</v>
      </c>
      <c r="D161" s="46">
        <f>SUM(D148:D160)</f>
        <v>608</v>
      </c>
      <c r="E161" s="46">
        <f>SUM(E148:E160)</f>
        <v>670</v>
      </c>
      <c r="F161" s="49"/>
      <c r="G161" s="224">
        <f t="shared" si="18"/>
        <v>1.1019736842105263</v>
      </c>
      <c r="H161" s="63">
        <f>E161-D161</f>
        <v>62</v>
      </c>
    </row>
    <row r="162" spans="1:8" ht="15.75">
      <c r="A162" s="18"/>
      <c r="B162" s="22"/>
      <c r="C162" s="19"/>
      <c r="D162" s="19"/>
      <c r="E162" s="19"/>
      <c r="F162" s="20" t="s">
        <v>0</v>
      </c>
      <c r="G162" s="231"/>
      <c r="H162" s="13" t="s">
        <v>0</v>
      </c>
    </row>
    <row r="163" spans="1:8" ht="15.75">
      <c r="A163" s="238"/>
      <c r="B163" s="239" t="s">
        <v>179</v>
      </c>
      <c r="C163" s="31"/>
      <c r="D163" s="31"/>
      <c r="E163" s="31"/>
      <c r="F163" s="240"/>
      <c r="G163" s="241"/>
      <c r="H163" s="111"/>
    </row>
    <row r="164" spans="1:8" ht="15.75">
      <c r="A164" s="238"/>
      <c r="B164" s="242" t="s">
        <v>33</v>
      </c>
      <c r="C164" s="243">
        <v>2020</v>
      </c>
      <c r="D164" s="243">
        <v>2021</v>
      </c>
      <c r="E164" s="243">
        <v>2022</v>
      </c>
      <c r="F164" s="244" t="s">
        <v>1</v>
      </c>
      <c r="G164" s="245">
        <v>1</v>
      </c>
      <c r="H164" s="111"/>
    </row>
    <row r="165" spans="1:8" ht="15.75">
      <c r="A165" s="238"/>
      <c r="B165" s="242">
        <v>1</v>
      </c>
      <c r="C165" s="31">
        <f>SUM(C12)</f>
        <v>181</v>
      </c>
      <c r="D165" s="31">
        <f>SUM(D12)</f>
        <v>180</v>
      </c>
      <c r="E165" s="31">
        <f>SUM(E12)</f>
        <v>192</v>
      </c>
      <c r="F165" s="246">
        <f>E165/D165</f>
        <v>1.0666666666666667</v>
      </c>
      <c r="G165" s="247">
        <f>E165-D165</f>
        <v>12</v>
      </c>
      <c r="H165" s="111"/>
    </row>
    <row r="166" spans="1:8" ht="15.75">
      <c r="A166" s="238"/>
      <c r="B166" s="242">
        <v>2</v>
      </c>
      <c r="C166" s="31">
        <f>SUM(C24)</f>
        <v>275</v>
      </c>
      <c r="D166" s="31">
        <f>SUM(D24)</f>
        <v>257</v>
      </c>
      <c r="E166" s="31">
        <f>SUM(E24)</f>
        <v>261</v>
      </c>
      <c r="F166" s="246">
        <f aca="true" t="shared" si="20" ref="F166:F174">E166/D166</f>
        <v>1.0155642023346303</v>
      </c>
      <c r="G166" s="247">
        <f aca="true" t="shared" si="21" ref="G166:G178">E166-D166</f>
        <v>4</v>
      </c>
      <c r="H166" s="111"/>
    </row>
    <row r="167" spans="1:8" ht="15.75">
      <c r="A167" s="238"/>
      <c r="B167" s="242">
        <v>3</v>
      </c>
      <c r="C167" s="31">
        <f>SUM(C38)</f>
        <v>372</v>
      </c>
      <c r="D167" s="31">
        <f>SUM(D38)</f>
        <v>310</v>
      </c>
      <c r="E167" s="31">
        <f>SUM(E38)</f>
        <v>365</v>
      </c>
      <c r="F167" s="246">
        <f t="shared" si="20"/>
        <v>1.1774193548387097</v>
      </c>
      <c r="G167" s="247">
        <f t="shared" si="21"/>
        <v>55</v>
      </c>
      <c r="H167" s="111"/>
    </row>
    <row r="168" spans="1:8" ht="15.75">
      <c r="A168" s="238"/>
      <c r="B168" s="242">
        <v>4</v>
      </c>
      <c r="C168" s="31">
        <f>SUM(C64)</f>
        <v>998</v>
      </c>
      <c r="D168" s="31">
        <f>SUM(D64)</f>
        <v>920</v>
      </c>
      <c r="E168" s="31">
        <f>SUM(E64)</f>
        <v>982</v>
      </c>
      <c r="F168" s="246">
        <f t="shared" si="20"/>
        <v>1.067391304347826</v>
      </c>
      <c r="G168" s="247">
        <f t="shared" si="21"/>
        <v>62</v>
      </c>
      <c r="H168" s="111"/>
    </row>
    <row r="169" spans="1:8" ht="15.75">
      <c r="A169" s="238"/>
      <c r="B169" s="242">
        <v>5</v>
      </c>
      <c r="C169" s="31">
        <f>SUM(C94)</f>
        <v>1269</v>
      </c>
      <c r="D169" s="31">
        <f>SUM(D94)</f>
        <v>1130</v>
      </c>
      <c r="E169" s="31">
        <f>SUM(E94)</f>
        <v>1256</v>
      </c>
      <c r="F169" s="246">
        <f t="shared" si="20"/>
        <v>1.111504424778761</v>
      </c>
      <c r="G169" s="247">
        <f t="shared" si="21"/>
        <v>126</v>
      </c>
      <c r="H169" s="111"/>
    </row>
    <row r="170" spans="1:8" ht="15.75">
      <c r="A170" s="238"/>
      <c r="B170" s="242">
        <v>6</v>
      </c>
      <c r="C170" s="31">
        <f>SUM(C111)</f>
        <v>794</v>
      </c>
      <c r="D170" s="31">
        <f>SUM(D111)</f>
        <v>860</v>
      </c>
      <c r="E170" s="31">
        <f>SUM(E111)</f>
        <v>942</v>
      </c>
      <c r="F170" s="246">
        <f t="shared" si="20"/>
        <v>1.0953488372093023</v>
      </c>
      <c r="G170" s="247">
        <f t="shared" si="21"/>
        <v>82</v>
      </c>
      <c r="H170" s="111"/>
    </row>
    <row r="171" spans="1:8" ht="15.75">
      <c r="A171" s="238"/>
      <c r="B171" s="242">
        <v>7</v>
      </c>
      <c r="C171" s="31">
        <f>SUM(C120)</f>
        <v>131</v>
      </c>
      <c r="D171" s="31">
        <f>SUM(D120)</f>
        <v>137</v>
      </c>
      <c r="E171" s="31">
        <f>SUM(E120)</f>
        <v>141</v>
      </c>
      <c r="F171" s="222">
        <f t="shared" si="20"/>
        <v>1.0291970802919708</v>
      </c>
      <c r="G171" s="247">
        <f t="shared" si="21"/>
        <v>4</v>
      </c>
      <c r="H171" s="111"/>
    </row>
    <row r="172" spans="1:8" ht="15.75">
      <c r="A172" s="238"/>
      <c r="B172" s="242">
        <v>8</v>
      </c>
      <c r="C172" s="31">
        <f>SUM(C131)</f>
        <v>446</v>
      </c>
      <c r="D172" s="31">
        <f>SUM(D131)</f>
        <v>347</v>
      </c>
      <c r="E172" s="31">
        <f>SUM(E131)</f>
        <v>388</v>
      </c>
      <c r="F172" s="246">
        <f t="shared" si="20"/>
        <v>1.1181556195965419</v>
      </c>
      <c r="G172" s="247">
        <f t="shared" si="21"/>
        <v>41</v>
      </c>
      <c r="H172" s="111"/>
    </row>
    <row r="173" spans="1:8" ht="15.75">
      <c r="A173" s="238"/>
      <c r="B173" s="242">
        <v>9</v>
      </c>
      <c r="C173" s="31">
        <f>SUM(C145)</f>
        <v>248</v>
      </c>
      <c r="D173" s="31">
        <f>SUM(D145)</f>
        <v>227</v>
      </c>
      <c r="E173" s="31">
        <f>SUM(E145)</f>
        <v>255</v>
      </c>
      <c r="F173" s="246">
        <f t="shared" si="20"/>
        <v>1.1233480176211454</v>
      </c>
      <c r="G173" s="247">
        <f t="shared" si="21"/>
        <v>28</v>
      </c>
      <c r="H173" s="111"/>
    </row>
    <row r="174" spans="1:8" ht="15.75">
      <c r="A174" s="238"/>
      <c r="B174" s="242">
        <v>10</v>
      </c>
      <c r="C174" s="31">
        <f>SUM(C161)</f>
        <v>637</v>
      </c>
      <c r="D174" s="31">
        <f>SUM(D161)</f>
        <v>608</v>
      </c>
      <c r="E174" s="31">
        <f>SUM(E161)</f>
        <v>670</v>
      </c>
      <c r="F174" s="246">
        <f t="shared" si="20"/>
        <v>1.1019736842105263</v>
      </c>
      <c r="G174" s="247">
        <f t="shared" si="21"/>
        <v>62</v>
      </c>
      <c r="H174" s="111"/>
    </row>
    <row r="175" spans="1:8" ht="15.75">
      <c r="A175" s="238"/>
      <c r="B175" s="248" t="s">
        <v>161</v>
      </c>
      <c r="C175" s="31">
        <v>9</v>
      </c>
      <c r="D175" s="31">
        <v>10</v>
      </c>
      <c r="E175" s="31">
        <v>11</v>
      </c>
      <c r="F175" s="222">
        <f>E175/D175</f>
        <v>1.1</v>
      </c>
      <c r="G175" s="247">
        <f t="shared" si="21"/>
        <v>1</v>
      </c>
      <c r="H175" s="111"/>
    </row>
    <row r="176" spans="1:15" s="191" customFormat="1" ht="18">
      <c r="A176" s="238"/>
      <c r="B176" s="249" t="s">
        <v>20</v>
      </c>
      <c r="C176" s="248">
        <f>SUM(C165:C175)</f>
        <v>5360</v>
      </c>
      <c r="D176" s="248">
        <f>SUM(D165:D175)</f>
        <v>4986</v>
      </c>
      <c r="E176" s="248">
        <f>SUM(E165:E175)</f>
        <v>5463</v>
      </c>
      <c r="F176" s="222"/>
      <c r="G176" s="241"/>
      <c r="H176" s="250"/>
      <c r="I176" s="54"/>
      <c r="J176" s="22"/>
      <c r="K176" s="2"/>
      <c r="L176" s="2"/>
      <c r="M176" s="2"/>
      <c r="N176" s="11"/>
      <c r="O176" s="148"/>
    </row>
    <row r="177" spans="1:9" s="191" customFormat="1" ht="18">
      <c r="A177" s="238"/>
      <c r="B177" s="249"/>
      <c r="C177" s="251"/>
      <c r="D177" s="251"/>
      <c r="E177" s="251"/>
      <c r="F177" s="252"/>
      <c r="G177" s="222"/>
      <c r="H177" s="253"/>
      <c r="I177" s="54"/>
    </row>
    <row r="178" spans="1:8" s="56" customFormat="1" ht="20.25">
      <c r="A178" s="238"/>
      <c r="B178" s="236" t="s">
        <v>178</v>
      </c>
      <c r="C178" s="237"/>
      <c r="D178" s="260">
        <v>5074</v>
      </c>
      <c r="E178" s="248">
        <f>E176</f>
        <v>5463</v>
      </c>
      <c r="F178" s="263">
        <f>E178/D178</f>
        <v>1.0766653527788728</v>
      </c>
      <c r="G178" s="241">
        <f t="shared" si="21"/>
        <v>389</v>
      </c>
      <c r="H178" s="253"/>
    </row>
    <row r="179" spans="1:8" s="56" customFormat="1" ht="15.75">
      <c r="A179" s="238"/>
      <c r="B179" s="262"/>
      <c r="C179" s="248"/>
      <c r="D179" s="251"/>
      <c r="E179" s="251"/>
      <c r="F179" s="241"/>
      <c r="G179" s="222"/>
      <c r="H179" s="253"/>
    </row>
    <row r="180" spans="1:8" s="194" customFormat="1" ht="23.25">
      <c r="A180" s="238"/>
      <c r="B180" s="254" t="str">
        <f>B4</f>
        <v>                                               Next Target Date: 7/28/2022       105%</v>
      </c>
      <c r="C180" s="255"/>
      <c r="D180" s="256"/>
      <c r="E180" s="257"/>
      <c r="F180" s="258"/>
      <c r="G180" s="259"/>
      <c r="H180" s="257"/>
    </row>
    <row r="181" spans="1:8" s="56" customFormat="1" ht="15.75">
      <c r="A181" s="18"/>
      <c r="B181" s="67"/>
      <c r="C181" s="46"/>
      <c r="D181" s="46"/>
      <c r="E181" s="46"/>
      <c r="F181" s="62"/>
      <c r="G181" s="228"/>
      <c r="H181" s="18"/>
    </row>
    <row r="182" spans="1:8" ht="15.75">
      <c r="A182" s="18"/>
      <c r="B182" s="73" t="s">
        <v>129</v>
      </c>
      <c r="C182" s="54"/>
      <c r="D182" s="54"/>
      <c r="E182" s="54"/>
      <c r="F182" s="54"/>
      <c r="G182" s="232"/>
      <c r="H182" s="73"/>
    </row>
    <row r="183" spans="1:8" ht="18">
      <c r="A183" s="65"/>
      <c r="B183" s="323" t="s">
        <v>176</v>
      </c>
      <c r="C183" s="323"/>
      <c r="D183" s="323"/>
      <c r="E183" s="323"/>
      <c r="F183" s="323"/>
      <c r="G183" s="215" t="s">
        <v>0</v>
      </c>
      <c r="H183" s="1" t="s">
        <v>0</v>
      </c>
    </row>
    <row r="184" spans="1:8" ht="18">
      <c r="A184" s="65"/>
      <c r="B184" s="73" t="s">
        <v>177</v>
      </c>
      <c r="C184" s="74"/>
      <c r="D184" s="74"/>
      <c r="E184" s="74"/>
      <c r="F184" s="76"/>
      <c r="G184" s="233"/>
      <c r="H184" s="77"/>
    </row>
    <row r="185" spans="1:8" ht="15.75">
      <c r="A185" s="18"/>
      <c r="B185" s="1" t="s">
        <v>0</v>
      </c>
      <c r="C185" s="74"/>
      <c r="D185" s="74"/>
      <c r="E185" s="74"/>
      <c r="F185" s="78"/>
      <c r="G185" s="233"/>
      <c r="H185" s="75"/>
    </row>
    <row r="186" spans="1:8" ht="15.75">
      <c r="A186" s="18"/>
      <c r="B186" s="19"/>
      <c r="C186" s="2"/>
      <c r="D186" s="2"/>
      <c r="E186" s="2"/>
      <c r="F186" s="8"/>
      <c r="G186" s="225"/>
      <c r="H186" s="7"/>
    </row>
    <row r="187" spans="1:8" ht="15.75">
      <c r="A187" s="18"/>
      <c r="B187" s="19"/>
      <c r="C187" s="2"/>
      <c r="D187" s="2"/>
      <c r="E187" s="2"/>
      <c r="F187" s="8"/>
      <c r="G187" s="225"/>
      <c r="H187" s="7"/>
    </row>
    <row r="188" spans="1:8" ht="15.75">
      <c r="A188" s="18"/>
      <c r="B188" s="22"/>
      <c r="C188" s="5"/>
      <c r="D188" s="5"/>
      <c r="E188" s="5"/>
      <c r="F188" s="8"/>
      <c r="G188" s="225"/>
      <c r="H188" s="9"/>
    </row>
    <row r="189" spans="1:8" ht="15.75">
      <c r="A189" s="18"/>
      <c r="B189" s="22"/>
      <c r="C189" s="2"/>
      <c r="D189" s="2"/>
      <c r="E189" s="2"/>
      <c r="F189" s="11"/>
      <c r="G189" s="231"/>
      <c r="H189" s="10"/>
    </row>
    <row r="190" spans="1:8" ht="15.75">
      <c r="A190" s="18"/>
      <c r="B190" s="22"/>
      <c r="C190" s="2"/>
      <c r="D190" s="2"/>
      <c r="E190" s="2"/>
      <c r="F190" s="11"/>
      <c r="G190" s="231"/>
      <c r="H190" s="10"/>
    </row>
    <row r="191" spans="1:8" ht="15.75">
      <c r="A191" s="18"/>
      <c r="B191" s="22"/>
      <c r="C191" s="2"/>
      <c r="D191" s="2"/>
      <c r="E191" s="2"/>
      <c r="F191" s="11"/>
      <c r="G191" s="231"/>
      <c r="H191" s="10"/>
    </row>
    <row r="192" spans="1:8" ht="15.75">
      <c r="A192" s="18"/>
      <c r="B192" s="22"/>
      <c r="C192" s="2"/>
      <c r="D192" s="2"/>
      <c r="E192" s="2"/>
      <c r="F192" s="11"/>
      <c r="G192" s="231"/>
      <c r="H192" s="10"/>
    </row>
    <row r="193" spans="1:8" ht="15.75">
      <c r="A193" s="18"/>
      <c r="B193" s="22"/>
      <c r="C193" s="2"/>
      <c r="D193" s="2"/>
      <c r="E193" s="2"/>
      <c r="F193" s="11"/>
      <c r="G193" s="231"/>
      <c r="H193" s="10"/>
    </row>
    <row r="194" spans="1:8" ht="15.75">
      <c r="A194" s="18"/>
      <c r="B194" s="22"/>
      <c r="C194" s="2"/>
      <c r="D194" s="2"/>
      <c r="E194" s="2"/>
      <c r="F194" s="11"/>
      <c r="G194" s="231"/>
      <c r="H194" s="10"/>
    </row>
    <row r="195" spans="1:8" ht="15.75">
      <c r="A195" s="18"/>
      <c r="B195" s="22"/>
      <c r="C195" s="2"/>
      <c r="D195" s="2"/>
      <c r="E195" s="2"/>
      <c r="F195" s="11"/>
      <c r="G195" s="231"/>
      <c r="H195" s="10"/>
    </row>
    <row r="196" spans="1:8" ht="15.75">
      <c r="A196" s="18"/>
      <c r="B196" s="22"/>
      <c r="C196" s="2"/>
      <c r="D196" s="2"/>
      <c r="E196" s="2"/>
      <c r="F196" s="11"/>
      <c r="G196" s="231"/>
      <c r="H196" s="10"/>
    </row>
    <row r="197" spans="1:8" ht="15.75">
      <c r="A197" s="18"/>
      <c r="B197" s="22"/>
      <c r="C197" s="2"/>
      <c r="D197" s="2"/>
      <c r="E197" s="2"/>
      <c r="F197" s="11"/>
      <c r="G197" s="231"/>
      <c r="H197" s="10"/>
    </row>
    <row r="198" spans="1:8" ht="15.75">
      <c r="A198" s="18"/>
      <c r="B198" s="22"/>
      <c r="C198" s="2"/>
      <c r="D198" s="2"/>
      <c r="E198" s="2"/>
      <c r="F198" s="11"/>
      <c r="G198" s="231"/>
      <c r="H198" s="10"/>
    </row>
    <row r="199" spans="1:8" ht="15.75">
      <c r="A199" s="18"/>
      <c r="B199" s="22"/>
      <c r="C199" s="2"/>
      <c r="D199" s="2"/>
      <c r="E199" s="2"/>
      <c r="F199" s="11"/>
      <c r="G199" s="231"/>
      <c r="H199" s="10"/>
    </row>
    <row r="200" spans="1:8" ht="15.75">
      <c r="A200" s="18"/>
      <c r="B200" s="22"/>
      <c r="C200" s="2"/>
      <c r="D200" s="2"/>
      <c r="E200" s="2"/>
      <c r="F200" s="11"/>
      <c r="G200" s="234"/>
      <c r="H200" s="10"/>
    </row>
    <row r="201" spans="1:8" ht="15.75">
      <c r="A201" s="18"/>
      <c r="B201" s="22"/>
      <c r="C201" s="2"/>
      <c r="D201" s="2"/>
      <c r="E201" s="2"/>
      <c r="F201" s="11"/>
      <c r="G201" s="234"/>
      <c r="H201" s="10"/>
    </row>
    <row r="202" spans="1:8" ht="15.75">
      <c r="A202" s="18"/>
      <c r="B202" s="22"/>
      <c r="C202" s="2"/>
      <c r="D202" s="2"/>
      <c r="E202" s="2"/>
      <c r="F202" s="11"/>
      <c r="G202" s="234"/>
      <c r="H202" s="10"/>
    </row>
    <row r="203" spans="1:8" ht="15.75">
      <c r="A203" s="18"/>
      <c r="B203" s="22"/>
      <c r="C203" s="2"/>
      <c r="D203" s="2"/>
      <c r="E203" s="2"/>
      <c r="F203" s="11"/>
      <c r="G203" s="234"/>
      <c r="H203" s="10"/>
    </row>
    <row r="204" spans="1:8" ht="15.75">
      <c r="A204" s="18"/>
      <c r="B204" s="22"/>
      <c r="C204" s="3"/>
      <c r="D204" s="3"/>
      <c r="E204" s="3"/>
      <c r="F204" s="11"/>
      <c r="G204" s="234"/>
      <c r="H204" s="10"/>
    </row>
    <row r="205" spans="1:8" ht="15.75">
      <c r="A205" s="18"/>
      <c r="B205" s="22"/>
      <c r="C205" s="2"/>
      <c r="D205" s="2"/>
      <c r="E205" s="2"/>
      <c r="F205" s="11"/>
      <c r="G205" s="234"/>
      <c r="H205" s="10"/>
    </row>
    <row r="206" spans="1:8" ht="15.75">
      <c r="A206" s="18"/>
      <c r="C206" s="2"/>
      <c r="D206" s="2"/>
      <c r="E206" s="2"/>
      <c r="F206" s="6"/>
      <c r="G206" s="235"/>
      <c r="H206" s="4"/>
    </row>
    <row r="207" spans="1:8" ht="15.75">
      <c r="A207" s="18"/>
      <c r="C207" s="2"/>
      <c r="D207" s="2"/>
      <c r="E207" s="2"/>
      <c r="F207" s="6"/>
      <c r="G207" s="235"/>
      <c r="H207" s="4"/>
    </row>
    <row r="208" spans="1:8" ht="15.75">
      <c r="A208" s="18"/>
      <c r="C208" s="2"/>
      <c r="D208" s="2"/>
      <c r="E208" s="2"/>
      <c r="F208" s="6"/>
      <c r="G208" s="235"/>
      <c r="H208" s="4"/>
    </row>
    <row r="209" spans="1:8" ht="15.75">
      <c r="A209" s="18"/>
      <c r="C209" s="2"/>
      <c r="D209" s="2"/>
      <c r="E209" s="2"/>
      <c r="F209" s="6"/>
      <c r="G209" s="235"/>
      <c r="H209" s="4"/>
    </row>
    <row r="210" spans="1:8" ht="15.75">
      <c r="A210" s="18"/>
      <c r="C210" s="2"/>
      <c r="D210" s="2"/>
      <c r="E210" s="2"/>
      <c r="F210" s="6"/>
      <c r="G210" s="235"/>
      <c r="H210" s="4"/>
    </row>
    <row r="211" spans="1:8" ht="15.75">
      <c r="A211" s="18"/>
      <c r="C211" s="2"/>
      <c r="D211" s="2"/>
      <c r="E211" s="2"/>
      <c r="F211" s="6"/>
      <c r="G211" s="235"/>
      <c r="H211" s="4"/>
    </row>
    <row r="212" spans="1:8" ht="15.75">
      <c r="A212" s="18"/>
      <c r="C212" s="2"/>
      <c r="D212" s="2"/>
      <c r="E212" s="2"/>
      <c r="F212" s="6"/>
      <c r="G212" s="235"/>
      <c r="H212" s="4"/>
    </row>
    <row r="213" spans="1:8" ht="15.75">
      <c r="A213" s="18"/>
      <c r="C213" s="2"/>
      <c r="D213" s="2"/>
      <c r="E213" s="2"/>
      <c r="F213" s="6"/>
      <c r="G213" s="235"/>
      <c r="H213" s="4"/>
    </row>
    <row r="214" spans="1:8" ht="15.75">
      <c r="A214" s="18"/>
      <c r="C214" s="2"/>
      <c r="D214" s="2"/>
      <c r="E214" s="2"/>
      <c r="F214" s="6"/>
      <c r="G214" s="235"/>
      <c r="H214" s="4"/>
    </row>
    <row r="215" spans="1:8" ht="15.75">
      <c r="A215" s="18"/>
      <c r="C215" s="2"/>
      <c r="D215" s="2"/>
      <c r="E215" s="2"/>
      <c r="F215" s="6"/>
      <c r="G215" s="235"/>
      <c r="H215" s="4"/>
    </row>
    <row r="216" spans="1:8" ht="15.75">
      <c r="A216" s="18"/>
      <c r="C216" s="2"/>
      <c r="D216" s="2"/>
      <c r="E216" s="2"/>
      <c r="F216" s="6"/>
      <c r="G216" s="235"/>
      <c r="H216" s="4"/>
    </row>
    <row r="217" spans="1:8" ht="15.75">
      <c r="A217" s="18"/>
      <c r="C217" s="2"/>
      <c r="D217" s="2"/>
      <c r="E217" s="2"/>
      <c r="F217" s="6"/>
      <c r="G217" s="235"/>
      <c r="H217" s="4"/>
    </row>
    <row r="218" spans="1:8" ht="15.75">
      <c r="A218" s="18"/>
      <c r="C218" s="2"/>
      <c r="D218" s="2"/>
      <c r="E218" s="2"/>
      <c r="F218" s="6"/>
      <c r="G218" s="235"/>
      <c r="H218" s="4"/>
    </row>
    <row r="219" spans="1:8" ht="15.75">
      <c r="A219" s="18"/>
      <c r="C219" s="2"/>
      <c r="D219" s="2"/>
      <c r="E219" s="2"/>
      <c r="F219" s="6"/>
      <c r="G219" s="235"/>
      <c r="H219" s="4"/>
    </row>
    <row r="220" spans="1:8" ht="15.75">
      <c r="A220" s="18"/>
      <c r="C220" s="2"/>
      <c r="D220" s="2"/>
      <c r="E220" s="2"/>
      <c r="F220" s="6"/>
      <c r="G220" s="235"/>
      <c r="H220" s="4"/>
    </row>
    <row r="221" spans="1:8" ht="15.75">
      <c r="A221" s="18"/>
      <c r="C221" s="2"/>
      <c r="D221" s="2"/>
      <c r="E221" s="2"/>
      <c r="F221" s="6"/>
      <c r="G221" s="235"/>
      <c r="H221" s="4"/>
    </row>
    <row r="222" spans="1:8" ht="15.75">
      <c r="A222" s="18"/>
      <c r="C222" s="2"/>
      <c r="D222" s="2"/>
      <c r="E222" s="2"/>
      <c r="F222" s="6"/>
      <c r="G222" s="235"/>
      <c r="H222" s="4"/>
    </row>
    <row r="223" spans="1:8" ht="15.75">
      <c r="A223" s="18"/>
      <c r="C223" s="2"/>
      <c r="D223" s="2"/>
      <c r="E223" s="2"/>
      <c r="F223" s="6"/>
      <c r="G223" s="235"/>
      <c r="H223" s="4"/>
    </row>
    <row r="224" spans="1:8" ht="15.75">
      <c r="A224" s="18"/>
      <c r="C224" s="2"/>
      <c r="D224" s="2"/>
      <c r="E224" s="2"/>
      <c r="F224" s="6"/>
      <c r="G224" s="235"/>
      <c r="H224" s="4"/>
    </row>
    <row r="225" spans="1:8" ht="15.75">
      <c r="A225" s="18"/>
      <c r="C225" s="2"/>
      <c r="D225" s="2"/>
      <c r="E225" s="2"/>
      <c r="F225" s="6"/>
      <c r="G225" s="235"/>
      <c r="H225" s="4"/>
    </row>
    <row r="226" spans="1:8" ht="15.75">
      <c r="A226" s="18"/>
      <c r="C226" s="2"/>
      <c r="D226" s="2"/>
      <c r="E226" s="2"/>
      <c r="F226" s="6"/>
      <c r="G226" s="235"/>
      <c r="H226" s="4"/>
    </row>
    <row r="227" spans="1:8" ht="15.75">
      <c r="A227" s="18"/>
      <c r="C227" s="2"/>
      <c r="D227" s="2"/>
      <c r="E227" s="2"/>
      <c r="F227" s="6"/>
      <c r="G227" s="235"/>
      <c r="H227" s="4"/>
    </row>
    <row r="228" spans="1:8" ht="15.75">
      <c r="A228" s="18"/>
      <c r="C228" s="2"/>
      <c r="D228" s="2"/>
      <c r="E228" s="2"/>
      <c r="F228" s="6"/>
      <c r="G228" s="235"/>
      <c r="H228" s="4"/>
    </row>
    <row r="229" spans="1:8" ht="15.75">
      <c r="A229" s="18"/>
      <c r="C229" s="2"/>
      <c r="D229" s="2"/>
      <c r="E229" s="2"/>
      <c r="F229" s="6"/>
      <c r="G229" s="235"/>
      <c r="H229" s="4"/>
    </row>
    <row r="230" spans="1:8" ht="15.75">
      <c r="A230" s="18"/>
      <c r="C230" s="2"/>
      <c r="D230" s="2"/>
      <c r="E230" s="2"/>
      <c r="F230" s="6"/>
      <c r="G230" s="235"/>
      <c r="H230" s="4"/>
    </row>
    <row r="231" spans="1:8" ht="15.75">
      <c r="A231" s="18"/>
      <c r="C231" s="2"/>
      <c r="D231" s="2"/>
      <c r="E231" s="2"/>
      <c r="F231" s="6"/>
      <c r="G231" s="235"/>
      <c r="H231" s="4"/>
    </row>
  </sheetData>
  <sheetProtection/>
  <mergeCells count="1">
    <mergeCell ref="B183:F183"/>
  </mergeCells>
  <printOptions horizontalCentered="1"/>
  <pageMargins left="0.7" right="0.7" top="0.56" bottom="0.55" header="0.3" footer="0.3"/>
  <pageSetup horizontalDpi="600" verticalDpi="600" orientation="portrait" scale="67" r:id="rId1"/>
  <rowBreaks count="3" manualBreakCount="3">
    <brk id="64" max="7" man="1"/>
    <brk id="120" max="7" man="1"/>
    <brk id="820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6"/>
  <sheetViews>
    <sheetView tabSelected="1" zoomScalePageLayoutView="0" workbookViewId="0" topLeftCell="A163">
      <selection activeCell="F132" sqref="F132"/>
    </sheetView>
  </sheetViews>
  <sheetFormatPr defaultColWidth="9.6640625" defaultRowHeight="15"/>
  <cols>
    <col min="1" max="1" width="6.6640625" style="14" customWidth="1"/>
    <col min="2" max="2" width="14.6640625" style="14" customWidth="1"/>
    <col min="3" max="3" width="8.6640625" style="1" customWidth="1"/>
    <col min="4" max="4" width="7.6640625" style="1" customWidth="1"/>
    <col min="5" max="5" width="9.4453125" style="1" customWidth="1"/>
    <col min="6" max="6" width="7.6640625" style="1" customWidth="1"/>
    <col min="7" max="7" width="12.4453125" style="1" customWidth="1"/>
    <col min="8" max="8" width="9.6640625" style="215" customWidth="1"/>
    <col min="9" max="9" width="11.10546875" style="1" customWidth="1"/>
    <col min="10" max="10" width="10.6640625" style="54" customWidth="1"/>
    <col min="11" max="11" width="12.99609375" style="54" customWidth="1"/>
    <col min="12" max="16384" width="9.6640625" style="54" customWidth="1"/>
  </cols>
  <sheetData>
    <row r="1" spans="1:9" ht="16.5" thickBot="1">
      <c r="A1" s="18"/>
      <c r="B1" s="14" t="s">
        <v>21</v>
      </c>
      <c r="C1" s="15"/>
      <c r="D1" s="15"/>
      <c r="E1" s="15"/>
      <c r="F1" s="15"/>
      <c r="G1" s="16"/>
      <c r="H1" s="316" t="s">
        <v>23</v>
      </c>
      <c r="I1" s="317">
        <v>45134</v>
      </c>
    </row>
    <row r="2" spans="1:9" ht="15.75">
      <c r="A2" s="18"/>
      <c r="B2" s="66" t="s">
        <v>185</v>
      </c>
      <c r="C2" s="15"/>
      <c r="D2" s="15"/>
      <c r="E2" s="15"/>
      <c r="F2" s="130"/>
      <c r="G2" s="16"/>
      <c r="H2" s="217"/>
      <c r="I2" s="17"/>
    </row>
    <row r="3" spans="1:9" s="190" customFormat="1" ht="15.75" customHeight="1">
      <c r="A3" s="185"/>
      <c r="B3" s="119" t="s">
        <v>200</v>
      </c>
      <c r="C3" s="120"/>
      <c r="D3" s="120"/>
      <c r="F3" s="120"/>
      <c r="G3" s="261"/>
      <c r="H3" s="218"/>
      <c r="I3" s="189"/>
    </row>
    <row r="4" spans="1:11" ht="15.75">
      <c r="A4" s="18"/>
      <c r="B4" s="19"/>
      <c r="C4" s="19"/>
      <c r="D4" s="19"/>
      <c r="E4" s="275" t="s">
        <v>187</v>
      </c>
      <c r="F4" s="19"/>
      <c r="G4" s="20" t="s">
        <v>22</v>
      </c>
      <c r="H4" s="219"/>
      <c r="I4" s="19" t="s">
        <v>2</v>
      </c>
      <c r="J4" s="266"/>
      <c r="K4" s="265"/>
    </row>
    <row r="5" spans="1:9" ht="16.5" thickBot="1">
      <c r="A5" s="18"/>
      <c r="B5" s="22" t="s">
        <v>3</v>
      </c>
      <c r="C5" s="121">
        <v>2021</v>
      </c>
      <c r="D5" s="121">
        <v>2022</v>
      </c>
      <c r="E5" s="275">
        <v>2023</v>
      </c>
      <c r="F5" s="122">
        <v>2023</v>
      </c>
      <c r="G5" s="261" t="s">
        <v>34</v>
      </c>
      <c r="H5" s="220" t="s">
        <v>1</v>
      </c>
      <c r="I5" s="48">
        <v>1</v>
      </c>
    </row>
    <row r="6" spans="1:9" ht="15.75">
      <c r="A6" s="18">
        <v>68</v>
      </c>
      <c r="B6" s="22" t="s">
        <v>37</v>
      </c>
      <c r="C6" s="37">
        <v>6</v>
      </c>
      <c r="D6" s="37">
        <v>6</v>
      </c>
      <c r="E6" s="37">
        <v>6</v>
      </c>
      <c r="F6" s="37">
        <v>7</v>
      </c>
      <c r="G6" s="83">
        <v>44985</v>
      </c>
      <c r="H6" s="221">
        <f aca="true" t="shared" si="0" ref="H6:H11">F6/E6</f>
        <v>1.1666666666666667</v>
      </c>
      <c r="I6" s="47">
        <f aca="true" t="shared" si="1" ref="I6:I11">F6-E6</f>
        <v>1</v>
      </c>
    </row>
    <row r="7" spans="1:9" ht="15.75">
      <c r="A7" s="18">
        <v>125</v>
      </c>
      <c r="B7" s="22" t="s">
        <v>4</v>
      </c>
      <c r="C7" s="87">
        <v>52</v>
      </c>
      <c r="D7" s="87">
        <v>61</v>
      </c>
      <c r="E7" s="87">
        <v>61</v>
      </c>
      <c r="F7" s="87">
        <v>70</v>
      </c>
      <c r="G7" s="84">
        <v>45078</v>
      </c>
      <c r="H7" s="222">
        <f t="shared" si="0"/>
        <v>1.1475409836065573</v>
      </c>
      <c r="I7" s="34">
        <f t="shared" si="1"/>
        <v>9</v>
      </c>
    </row>
    <row r="8" spans="1:9" ht="15.75">
      <c r="A8" s="18">
        <v>152</v>
      </c>
      <c r="B8" s="22" t="s">
        <v>5</v>
      </c>
      <c r="C8" s="87">
        <v>12</v>
      </c>
      <c r="D8" s="87">
        <v>12</v>
      </c>
      <c r="E8" s="87">
        <v>12</v>
      </c>
      <c r="F8" s="87">
        <v>12</v>
      </c>
      <c r="G8" s="84">
        <v>44847</v>
      </c>
      <c r="H8" s="222">
        <f t="shared" si="0"/>
        <v>1</v>
      </c>
      <c r="I8" s="34">
        <f t="shared" si="1"/>
        <v>0</v>
      </c>
    </row>
    <row r="9" spans="1:11" ht="15.75">
      <c r="A9" s="18">
        <v>155</v>
      </c>
      <c r="B9" s="22" t="s">
        <v>6</v>
      </c>
      <c r="C9" s="87">
        <v>95</v>
      </c>
      <c r="D9" s="87">
        <v>98</v>
      </c>
      <c r="E9" s="87">
        <v>98</v>
      </c>
      <c r="F9" s="87">
        <v>98</v>
      </c>
      <c r="G9" s="84">
        <v>45043</v>
      </c>
      <c r="H9" s="222">
        <f t="shared" si="0"/>
        <v>1</v>
      </c>
      <c r="I9" s="34">
        <f t="shared" si="1"/>
        <v>0</v>
      </c>
      <c r="K9" s="232"/>
    </row>
    <row r="10" spans="1:11" ht="16.5" thickBot="1">
      <c r="A10" s="18">
        <v>160</v>
      </c>
      <c r="B10" s="22" t="s">
        <v>40</v>
      </c>
      <c r="C10" s="35">
        <v>15</v>
      </c>
      <c r="D10" s="35">
        <v>16</v>
      </c>
      <c r="E10" s="35">
        <v>15</v>
      </c>
      <c r="F10" s="35">
        <v>19</v>
      </c>
      <c r="G10" s="85">
        <v>45022</v>
      </c>
      <c r="H10" s="223">
        <f t="shared" si="0"/>
        <v>1.2666666666666666</v>
      </c>
      <c r="I10" s="42">
        <f t="shared" si="1"/>
        <v>4</v>
      </c>
      <c r="K10" s="232"/>
    </row>
    <row r="11" spans="1:11" ht="15.75">
      <c r="A11" s="18"/>
      <c r="B11" s="22" t="s">
        <v>7</v>
      </c>
      <c r="C11" s="46">
        <f>SUM(C6:C10)</f>
        <v>180</v>
      </c>
      <c r="D11" s="46">
        <f>SUM(D6:D10)</f>
        <v>193</v>
      </c>
      <c r="E11" s="264">
        <f>SUM(E6:E10)</f>
        <v>192</v>
      </c>
      <c r="F11" s="46">
        <f>SUM(F6:F10)</f>
        <v>206</v>
      </c>
      <c r="G11" s="86" t="s">
        <v>0</v>
      </c>
      <c r="H11" s="224">
        <f t="shared" si="0"/>
        <v>1.0729166666666667</v>
      </c>
      <c r="I11" s="63">
        <f t="shared" si="1"/>
        <v>14</v>
      </c>
      <c r="J11" s="265"/>
      <c r="K11" s="266"/>
    </row>
    <row r="12" spans="1:9" ht="15.75">
      <c r="A12" s="18"/>
      <c r="B12" s="22"/>
      <c r="C12" s="15"/>
      <c r="D12" s="15"/>
      <c r="E12" s="272" t="s">
        <v>187</v>
      </c>
      <c r="F12" s="15"/>
      <c r="G12" s="20" t="s">
        <v>22</v>
      </c>
      <c r="H12" s="225"/>
      <c r="I12" s="19" t="s">
        <v>2</v>
      </c>
    </row>
    <row r="13" spans="1:9" ht="16.5" thickBot="1">
      <c r="A13" s="18"/>
      <c r="B13" s="22" t="s">
        <v>8</v>
      </c>
      <c r="C13" s="121">
        <v>2021</v>
      </c>
      <c r="D13" s="121">
        <v>2022</v>
      </c>
      <c r="E13" s="273">
        <v>2023</v>
      </c>
      <c r="F13" s="122">
        <v>2023</v>
      </c>
      <c r="G13" s="20" t="s">
        <v>34</v>
      </c>
      <c r="H13" s="226" t="s">
        <v>1</v>
      </c>
      <c r="I13" s="41">
        <v>1</v>
      </c>
    </row>
    <row r="14" spans="1:9" ht="15.75">
      <c r="A14" s="18">
        <v>28</v>
      </c>
      <c r="B14" s="22" t="s">
        <v>41</v>
      </c>
      <c r="C14" s="37">
        <v>6</v>
      </c>
      <c r="D14" s="37">
        <v>7</v>
      </c>
      <c r="E14" s="270">
        <v>6</v>
      </c>
      <c r="F14" s="37">
        <v>9</v>
      </c>
      <c r="G14" s="83">
        <v>45001</v>
      </c>
      <c r="H14" s="221">
        <f>F14/E14</f>
        <v>1.5</v>
      </c>
      <c r="I14" s="47">
        <f>F14-E14</f>
        <v>3</v>
      </c>
    </row>
    <row r="15" spans="1:9" ht="15.75">
      <c r="A15" s="18">
        <v>81</v>
      </c>
      <c r="B15" s="22" t="s">
        <v>46</v>
      </c>
      <c r="C15" s="31">
        <v>17</v>
      </c>
      <c r="D15" s="31">
        <v>16</v>
      </c>
      <c r="E15" s="267">
        <v>16</v>
      </c>
      <c r="F15" s="31">
        <v>16</v>
      </c>
      <c r="G15" s="84">
        <v>45028</v>
      </c>
      <c r="H15" s="227">
        <f aca="true" t="shared" si="2" ref="H15:H22">F15/E15</f>
        <v>1</v>
      </c>
      <c r="I15" s="34">
        <f aca="true" t="shared" si="3" ref="I15:I22">F15-E15</f>
        <v>0</v>
      </c>
    </row>
    <row r="16" spans="1:9" ht="15.75">
      <c r="A16" s="18">
        <v>123</v>
      </c>
      <c r="B16" s="22" t="s">
        <v>45</v>
      </c>
      <c r="C16" s="31">
        <v>38</v>
      </c>
      <c r="D16" s="31">
        <v>38</v>
      </c>
      <c r="E16" s="267">
        <v>38</v>
      </c>
      <c r="F16" s="31">
        <v>35</v>
      </c>
      <c r="G16" s="84">
        <v>44907</v>
      </c>
      <c r="H16" s="227">
        <f t="shared" si="2"/>
        <v>0.9210526315789473</v>
      </c>
      <c r="I16" s="34">
        <f t="shared" si="3"/>
        <v>-3</v>
      </c>
    </row>
    <row r="17" spans="1:11" ht="15.75">
      <c r="A17" s="18">
        <v>172</v>
      </c>
      <c r="B17" s="22" t="s">
        <v>47</v>
      </c>
      <c r="C17" s="31">
        <v>88</v>
      </c>
      <c r="D17" s="87">
        <v>98</v>
      </c>
      <c r="E17" s="268">
        <v>98</v>
      </c>
      <c r="F17" s="87">
        <v>67</v>
      </c>
      <c r="G17" s="84">
        <v>45078</v>
      </c>
      <c r="H17" s="227">
        <f t="shared" si="2"/>
        <v>0.6836734693877551</v>
      </c>
      <c r="I17" s="34">
        <f t="shared" si="3"/>
        <v>-31</v>
      </c>
      <c r="K17" s="232"/>
    </row>
    <row r="18" spans="1:11" ht="15.75">
      <c r="A18" s="18">
        <v>224</v>
      </c>
      <c r="B18" s="22" t="s">
        <v>24</v>
      </c>
      <c r="C18" s="31">
        <v>37</v>
      </c>
      <c r="D18" s="31">
        <v>37</v>
      </c>
      <c r="E18" s="268">
        <v>37</v>
      </c>
      <c r="F18" s="31">
        <v>38</v>
      </c>
      <c r="G18" s="84">
        <v>44916</v>
      </c>
      <c r="H18" s="227">
        <f t="shared" si="2"/>
        <v>1.027027027027027</v>
      </c>
      <c r="I18" s="34">
        <f t="shared" si="3"/>
        <v>1</v>
      </c>
      <c r="K18" s="232"/>
    </row>
    <row r="19" spans="1:11" ht="15.75">
      <c r="A19" s="18">
        <v>236</v>
      </c>
      <c r="B19" s="22" t="s">
        <v>125</v>
      </c>
      <c r="C19" s="92">
        <v>28</v>
      </c>
      <c r="D19" s="92">
        <v>23</v>
      </c>
      <c r="E19" s="268">
        <v>23</v>
      </c>
      <c r="F19" s="92">
        <v>20</v>
      </c>
      <c r="G19" s="93">
        <v>45093</v>
      </c>
      <c r="H19" s="227">
        <f t="shared" si="2"/>
        <v>0.8695652173913043</v>
      </c>
      <c r="I19" s="34">
        <f t="shared" si="3"/>
        <v>-3</v>
      </c>
      <c r="K19" s="232"/>
    </row>
    <row r="20" spans="1:11" ht="15.75">
      <c r="A20" s="18">
        <v>260</v>
      </c>
      <c r="B20" s="67" t="s">
        <v>153</v>
      </c>
      <c r="C20" s="161">
        <v>10</v>
      </c>
      <c r="D20" s="161">
        <v>10</v>
      </c>
      <c r="E20" s="268">
        <v>10</v>
      </c>
      <c r="F20" s="161">
        <v>10</v>
      </c>
      <c r="G20" s="93">
        <v>44886</v>
      </c>
      <c r="H20" s="227">
        <f t="shared" si="2"/>
        <v>1</v>
      </c>
      <c r="I20" s="34">
        <f t="shared" si="3"/>
        <v>0</v>
      </c>
      <c r="K20" s="232"/>
    </row>
    <row r="21" spans="1:11" ht="15.75">
      <c r="A21" s="18">
        <v>266</v>
      </c>
      <c r="B21" s="67" t="s">
        <v>144</v>
      </c>
      <c r="C21" s="92">
        <v>17</v>
      </c>
      <c r="D21" s="92">
        <v>20</v>
      </c>
      <c r="E21" s="268">
        <v>20</v>
      </c>
      <c r="F21" s="92">
        <v>23</v>
      </c>
      <c r="G21" s="93">
        <v>45022</v>
      </c>
      <c r="H21" s="227">
        <f t="shared" si="2"/>
        <v>1.15</v>
      </c>
      <c r="I21" s="34">
        <f t="shared" si="3"/>
        <v>3</v>
      </c>
      <c r="K21" s="232"/>
    </row>
    <row r="22" spans="1:11" ht="16.5" thickBot="1">
      <c r="A22" s="18">
        <v>344</v>
      </c>
      <c r="B22" s="67" t="s">
        <v>137</v>
      </c>
      <c r="C22" s="94">
        <f>16</f>
        <v>16</v>
      </c>
      <c r="D22" s="94">
        <v>13</v>
      </c>
      <c r="E22" s="269">
        <v>13</v>
      </c>
      <c r="F22" s="94">
        <v>12</v>
      </c>
      <c r="G22" s="85">
        <v>45007</v>
      </c>
      <c r="H22" s="276">
        <f t="shared" si="2"/>
        <v>0.9230769230769231</v>
      </c>
      <c r="I22" s="42">
        <f t="shared" si="3"/>
        <v>-1</v>
      </c>
      <c r="K22" s="232"/>
    </row>
    <row r="23" spans="1:11" ht="15.75">
      <c r="A23" s="18"/>
      <c r="B23" s="22" t="s">
        <v>7</v>
      </c>
      <c r="C23" s="46">
        <f>SUM(C14:C22)</f>
        <v>257</v>
      </c>
      <c r="D23" s="46">
        <f>SUM(D14:D22)</f>
        <v>262</v>
      </c>
      <c r="E23" s="264">
        <f>SUM(E14:E22)</f>
        <v>261</v>
      </c>
      <c r="F23" s="46">
        <f>SUM(F14:F22)</f>
        <v>230</v>
      </c>
      <c r="G23" s="49"/>
      <c r="H23" s="224">
        <f>F23/E23</f>
        <v>0.8812260536398467</v>
      </c>
      <c r="I23" s="63">
        <f>F23-E23</f>
        <v>-31</v>
      </c>
      <c r="J23" s="266"/>
      <c r="K23" s="266"/>
    </row>
    <row r="24" spans="1:12" ht="15.75">
      <c r="A24" s="18"/>
      <c r="B24" s="22"/>
      <c r="C24" s="15"/>
      <c r="D24" s="15"/>
      <c r="E24" s="272" t="s">
        <v>187</v>
      </c>
      <c r="F24" s="15"/>
      <c r="G24" s="20" t="s">
        <v>22</v>
      </c>
      <c r="H24" s="225"/>
      <c r="I24" s="19" t="s">
        <v>2</v>
      </c>
      <c r="L24" s="29"/>
    </row>
    <row r="25" spans="1:12" ht="16.5" thickBot="1">
      <c r="A25" s="18"/>
      <c r="B25" s="22" t="s">
        <v>9</v>
      </c>
      <c r="C25" s="121">
        <v>2021</v>
      </c>
      <c r="D25" s="121">
        <v>2022</v>
      </c>
      <c r="E25" s="272">
        <v>2023</v>
      </c>
      <c r="F25" s="122">
        <v>2023</v>
      </c>
      <c r="G25" s="20" t="s">
        <v>34</v>
      </c>
      <c r="H25" s="228" t="s">
        <v>1</v>
      </c>
      <c r="I25" s="48">
        <v>1</v>
      </c>
      <c r="L25" s="29"/>
    </row>
    <row r="26" spans="1:12" ht="15.75">
      <c r="A26" s="18">
        <v>52</v>
      </c>
      <c r="B26" s="67" t="s">
        <v>160</v>
      </c>
      <c r="C26" s="138">
        <v>3</v>
      </c>
      <c r="D26" s="138">
        <f>3</f>
        <v>3</v>
      </c>
      <c r="E26" s="138">
        <v>3</v>
      </c>
      <c r="F26" s="138">
        <v>4</v>
      </c>
      <c r="G26" s="83">
        <v>44945</v>
      </c>
      <c r="H26" s="221">
        <f>F26/E26</f>
        <v>1.3333333333333333</v>
      </c>
      <c r="I26" s="181">
        <f>F26-E26</f>
        <v>1</v>
      </c>
      <c r="L26" s="29"/>
    </row>
    <row r="27" spans="1:255" ht="15.75">
      <c r="A27" s="18">
        <v>124</v>
      </c>
      <c r="B27" s="67" t="s">
        <v>131</v>
      </c>
      <c r="C27" s="162">
        <v>158</v>
      </c>
      <c r="D27" s="162">
        <v>182</v>
      </c>
      <c r="E27" s="162">
        <v>184</v>
      </c>
      <c r="F27" s="162">
        <v>191</v>
      </c>
      <c r="G27" s="163">
        <v>45120</v>
      </c>
      <c r="H27" s="222">
        <f aca="true" t="shared" si="4" ref="H27:H36">F27/E27</f>
        <v>1.0380434782608696</v>
      </c>
      <c r="I27" s="178">
        <f aca="true" t="shared" si="5" ref="I27:I36">F27-E27</f>
        <v>7</v>
      </c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</row>
    <row r="28" spans="1:255" ht="15.75">
      <c r="A28" s="18">
        <v>130</v>
      </c>
      <c r="B28" s="22" t="s">
        <v>25</v>
      </c>
      <c r="C28" s="69">
        <v>13</v>
      </c>
      <c r="D28" s="69">
        <v>13</v>
      </c>
      <c r="E28" s="69">
        <v>13</v>
      </c>
      <c r="F28" s="69">
        <v>14</v>
      </c>
      <c r="G28" s="103">
        <v>44833</v>
      </c>
      <c r="H28" s="222">
        <f t="shared" si="4"/>
        <v>1.0769230769230769</v>
      </c>
      <c r="I28" s="178">
        <f t="shared" si="5"/>
        <v>1</v>
      </c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</row>
    <row r="29" spans="1:11" ht="15.75">
      <c r="A29" s="18">
        <v>185</v>
      </c>
      <c r="B29" s="22" t="s">
        <v>48</v>
      </c>
      <c r="C29" s="69">
        <v>9</v>
      </c>
      <c r="D29" s="69">
        <v>17</v>
      </c>
      <c r="E29" s="69">
        <v>16</v>
      </c>
      <c r="F29" s="69">
        <v>4</v>
      </c>
      <c r="G29" s="80">
        <v>44931</v>
      </c>
      <c r="H29" s="222">
        <f t="shared" si="4"/>
        <v>0.25</v>
      </c>
      <c r="I29" s="178">
        <f t="shared" si="5"/>
        <v>-12</v>
      </c>
      <c r="K29" s="232"/>
    </row>
    <row r="30" spans="1:11" ht="15.75">
      <c r="A30" s="18">
        <v>207</v>
      </c>
      <c r="B30" s="67" t="s">
        <v>180</v>
      </c>
      <c r="C30" s="69"/>
      <c r="D30" s="69">
        <v>8</v>
      </c>
      <c r="E30" s="69">
        <v>8</v>
      </c>
      <c r="F30" s="69">
        <v>21</v>
      </c>
      <c r="G30" s="80">
        <v>45078</v>
      </c>
      <c r="H30" s="222">
        <f t="shared" si="4"/>
        <v>2.625</v>
      </c>
      <c r="I30" s="178">
        <f t="shared" si="5"/>
        <v>13</v>
      </c>
      <c r="K30" s="232"/>
    </row>
    <row r="31" spans="1:11" ht="15.75">
      <c r="A31" s="18">
        <v>275</v>
      </c>
      <c r="B31" s="22" t="s">
        <v>49</v>
      </c>
      <c r="C31" s="69">
        <v>53</v>
      </c>
      <c r="D31" s="69">
        <v>33</v>
      </c>
      <c r="E31" s="69">
        <v>34</v>
      </c>
      <c r="F31" s="69">
        <v>22</v>
      </c>
      <c r="G31" s="80">
        <v>45078</v>
      </c>
      <c r="H31" s="222">
        <f t="shared" si="4"/>
        <v>0.6470588235294118</v>
      </c>
      <c r="I31" s="178">
        <f t="shared" si="5"/>
        <v>-12</v>
      </c>
      <c r="K31" s="232"/>
    </row>
    <row r="32" spans="1:11" ht="15.75">
      <c r="A32" s="18">
        <v>277</v>
      </c>
      <c r="B32" s="22" t="s">
        <v>50</v>
      </c>
      <c r="C32" s="69">
        <v>9</v>
      </c>
      <c r="D32" s="69">
        <v>7</v>
      </c>
      <c r="E32" s="69">
        <v>8</v>
      </c>
      <c r="F32" s="69">
        <v>5</v>
      </c>
      <c r="G32" s="80">
        <v>44937</v>
      </c>
      <c r="H32" s="222">
        <f t="shared" si="4"/>
        <v>0.625</v>
      </c>
      <c r="I32" s="178">
        <f t="shared" si="5"/>
        <v>-3</v>
      </c>
      <c r="K32" s="232"/>
    </row>
    <row r="33" spans="1:11" ht="15.75">
      <c r="A33" s="18">
        <v>293</v>
      </c>
      <c r="B33" s="67" t="s">
        <v>128</v>
      </c>
      <c r="C33" s="69">
        <v>9</v>
      </c>
      <c r="D33" s="69">
        <v>13</v>
      </c>
      <c r="E33" s="69">
        <v>13</v>
      </c>
      <c r="F33" s="69">
        <v>36</v>
      </c>
      <c r="G33" s="80">
        <v>45036</v>
      </c>
      <c r="H33" s="222">
        <f t="shared" si="4"/>
        <v>2.769230769230769</v>
      </c>
      <c r="I33" s="178">
        <f t="shared" si="5"/>
        <v>23</v>
      </c>
      <c r="K33" s="232"/>
    </row>
    <row r="34" spans="1:11" ht="15.75">
      <c r="A34" s="18">
        <v>325</v>
      </c>
      <c r="B34" s="22" t="s">
        <v>126</v>
      </c>
      <c r="C34" s="69">
        <v>14</v>
      </c>
      <c r="D34" s="69">
        <v>30</v>
      </c>
      <c r="E34" s="69">
        <v>30</v>
      </c>
      <c r="F34" s="69">
        <v>19</v>
      </c>
      <c r="G34" s="80">
        <v>44896</v>
      </c>
      <c r="H34" s="222">
        <f t="shared" si="4"/>
        <v>0.6333333333333333</v>
      </c>
      <c r="I34" s="178">
        <f t="shared" si="5"/>
        <v>-11</v>
      </c>
      <c r="K34" s="232"/>
    </row>
    <row r="35" spans="1:11" ht="15.75">
      <c r="A35" s="18">
        <v>338</v>
      </c>
      <c r="B35" s="22" t="s">
        <v>26</v>
      </c>
      <c r="C35" s="23">
        <v>25</v>
      </c>
      <c r="D35" s="23">
        <v>32</v>
      </c>
      <c r="E35" s="23">
        <v>33</v>
      </c>
      <c r="F35" s="23">
        <v>27</v>
      </c>
      <c r="G35" s="171">
        <v>45028</v>
      </c>
      <c r="H35" s="222">
        <f t="shared" si="4"/>
        <v>0.8181818181818182</v>
      </c>
      <c r="I35" s="178">
        <f t="shared" si="5"/>
        <v>-6</v>
      </c>
      <c r="K35" s="232"/>
    </row>
    <row r="36" spans="1:11" ht="16.5" thickBot="1">
      <c r="A36" s="18">
        <v>351</v>
      </c>
      <c r="B36" s="67" t="s">
        <v>164</v>
      </c>
      <c r="C36" s="35">
        <v>17</v>
      </c>
      <c r="D36" s="35">
        <v>28</v>
      </c>
      <c r="E36" s="35">
        <v>26</v>
      </c>
      <c r="F36" s="35">
        <v>30</v>
      </c>
      <c r="G36" s="85">
        <v>44951</v>
      </c>
      <c r="H36" s="223">
        <f t="shared" si="4"/>
        <v>1.1538461538461537</v>
      </c>
      <c r="I36" s="180">
        <f t="shared" si="5"/>
        <v>4</v>
      </c>
      <c r="K36" s="232"/>
    </row>
    <row r="37" spans="1:9" s="56" customFormat="1" ht="15.75">
      <c r="A37" s="18"/>
      <c r="B37" s="22" t="s">
        <v>7</v>
      </c>
      <c r="C37" s="46">
        <f>SUM(C26:C36)</f>
        <v>310</v>
      </c>
      <c r="D37" s="46">
        <f>SUM(D26:D36)</f>
        <v>366</v>
      </c>
      <c r="E37" s="46">
        <f>SUM(E26:E36)</f>
        <v>368</v>
      </c>
      <c r="F37" s="46">
        <f>SUM(F26:F36)</f>
        <v>373</v>
      </c>
      <c r="G37" s="49"/>
      <c r="H37" s="224">
        <f>F37/E37</f>
        <v>1.013586956521739</v>
      </c>
      <c r="I37" s="63">
        <f>F37-E37</f>
        <v>5</v>
      </c>
    </row>
    <row r="38" spans="1:9" ht="15.75">
      <c r="A38" s="18"/>
      <c r="B38" s="19"/>
      <c r="C38" s="15"/>
      <c r="D38" s="15"/>
      <c r="E38" s="272" t="s">
        <v>187</v>
      </c>
      <c r="F38" s="15"/>
      <c r="G38" s="20" t="s">
        <v>22</v>
      </c>
      <c r="H38" s="225"/>
      <c r="I38" s="19" t="s">
        <v>2</v>
      </c>
    </row>
    <row r="39" spans="1:9" ht="16.5" thickBot="1">
      <c r="A39" s="18"/>
      <c r="B39" s="22" t="s">
        <v>10</v>
      </c>
      <c r="C39" s="121">
        <v>2021</v>
      </c>
      <c r="D39" s="121">
        <v>2022</v>
      </c>
      <c r="E39" s="272">
        <v>2023</v>
      </c>
      <c r="F39" s="122">
        <v>2023</v>
      </c>
      <c r="G39" s="20" t="s">
        <v>34</v>
      </c>
      <c r="H39" s="226" t="s">
        <v>1</v>
      </c>
      <c r="I39" s="41">
        <v>1</v>
      </c>
    </row>
    <row r="40" spans="1:9" ht="15.75">
      <c r="A40" s="18">
        <v>2</v>
      </c>
      <c r="B40" s="22" t="s">
        <v>52</v>
      </c>
      <c r="C40" s="50">
        <v>12</v>
      </c>
      <c r="D40" s="50">
        <v>14</v>
      </c>
      <c r="E40" s="50">
        <v>14</v>
      </c>
      <c r="F40" s="50">
        <v>12</v>
      </c>
      <c r="G40" s="51">
        <v>45007</v>
      </c>
      <c r="H40" s="222">
        <f>F40/E40</f>
        <v>0.8571428571428571</v>
      </c>
      <c r="I40" s="34">
        <f>F40-E40</f>
        <v>-2</v>
      </c>
    </row>
    <row r="41" spans="1:9" ht="15.75">
      <c r="A41" s="18">
        <v>41</v>
      </c>
      <c r="B41" s="22" t="s">
        <v>51</v>
      </c>
      <c r="C41" s="23">
        <v>26</v>
      </c>
      <c r="D41" s="23">
        <v>17</v>
      </c>
      <c r="E41" s="23">
        <v>12</v>
      </c>
      <c r="F41" s="23">
        <v>18</v>
      </c>
      <c r="G41" s="24">
        <v>44951</v>
      </c>
      <c r="H41" s="222">
        <f aca="true" t="shared" si="6" ref="H41:H64">F41/E41</f>
        <v>1.5</v>
      </c>
      <c r="I41" s="34">
        <f aca="true" t="shared" si="7" ref="I41:I64">F41-E41</f>
        <v>6</v>
      </c>
    </row>
    <row r="42" spans="1:9" ht="15.75">
      <c r="A42" s="322">
        <v>50</v>
      </c>
      <c r="B42" s="67" t="s">
        <v>197</v>
      </c>
      <c r="C42" s="23"/>
      <c r="D42" s="23"/>
      <c r="E42" s="23"/>
      <c r="F42" s="23">
        <v>1</v>
      </c>
      <c r="G42" s="24">
        <v>44952</v>
      </c>
      <c r="H42" s="222"/>
      <c r="I42" s="34"/>
    </row>
    <row r="43" spans="1:9" ht="15.75">
      <c r="A43" s="18">
        <v>58</v>
      </c>
      <c r="B43" s="22" t="s">
        <v>121</v>
      </c>
      <c r="C43" s="23">
        <v>20</v>
      </c>
      <c r="D43" s="23">
        <v>21</v>
      </c>
      <c r="E43" s="23">
        <v>21</v>
      </c>
      <c r="F43" s="23">
        <v>22</v>
      </c>
      <c r="G43" s="24">
        <v>45022</v>
      </c>
      <c r="H43" s="222">
        <f t="shared" si="6"/>
        <v>1.0476190476190477</v>
      </c>
      <c r="I43" s="34">
        <f t="shared" si="7"/>
        <v>1</v>
      </c>
    </row>
    <row r="44" spans="1:11" ht="15.75">
      <c r="A44" s="18">
        <v>59</v>
      </c>
      <c r="B44" s="22" t="s">
        <v>53</v>
      </c>
      <c r="C44" s="23">
        <v>7</v>
      </c>
      <c r="D44" s="23">
        <v>6</v>
      </c>
      <c r="E44" s="23">
        <v>7</v>
      </c>
      <c r="F44" s="23">
        <v>3</v>
      </c>
      <c r="G44" s="24">
        <v>45035</v>
      </c>
      <c r="H44" s="222">
        <f t="shared" si="6"/>
        <v>0.42857142857142855</v>
      </c>
      <c r="I44" s="34">
        <f t="shared" si="7"/>
        <v>-4</v>
      </c>
      <c r="K44" s="232"/>
    </row>
    <row r="45" spans="1:11" ht="15.75">
      <c r="A45" s="18">
        <v>92</v>
      </c>
      <c r="B45" s="22" t="s">
        <v>54</v>
      </c>
      <c r="C45" s="23">
        <v>34</v>
      </c>
      <c r="D45" s="23">
        <v>35</v>
      </c>
      <c r="E45" s="23">
        <v>35</v>
      </c>
      <c r="F45" s="23">
        <v>33</v>
      </c>
      <c r="G45" s="24">
        <v>45028</v>
      </c>
      <c r="H45" s="222">
        <f t="shared" si="6"/>
        <v>0.9428571428571428</v>
      </c>
      <c r="I45" s="34">
        <f t="shared" si="7"/>
        <v>-2</v>
      </c>
      <c r="K45" s="232"/>
    </row>
    <row r="46" spans="1:11" ht="15.75">
      <c r="A46" s="18">
        <v>102</v>
      </c>
      <c r="B46" s="22" t="s">
        <v>42</v>
      </c>
      <c r="C46" s="23">
        <v>113</v>
      </c>
      <c r="D46" s="23">
        <v>111</v>
      </c>
      <c r="E46" s="23">
        <v>111</v>
      </c>
      <c r="F46" s="23">
        <v>117</v>
      </c>
      <c r="G46" s="24">
        <v>45106</v>
      </c>
      <c r="H46" s="222">
        <f t="shared" si="6"/>
        <v>1.054054054054054</v>
      </c>
      <c r="I46" s="34">
        <f t="shared" si="7"/>
        <v>6</v>
      </c>
      <c r="K46" s="232"/>
    </row>
    <row r="47" spans="1:11" ht="15.75">
      <c r="A47" s="18">
        <v>109</v>
      </c>
      <c r="B47" s="22" t="s">
        <v>55</v>
      </c>
      <c r="C47" s="23">
        <v>26</v>
      </c>
      <c r="D47" s="23">
        <v>24</v>
      </c>
      <c r="E47" s="23">
        <v>24</v>
      </c>
      <c r="F47" s="23">
        <v>3</v>
      </c>
      <c r="G47" s="80">
        <v>44761</v>
      </c>
      <c r="H47" s="222">
        <f t="shared" si="6"/>
        <v>0.125</v>
      </c>
      <c r="I47" s="34">
        <f t="shared" si="7"/>
        <v>-21</v>
      </c>
      <c r="K47" s="232"/>
    </row>
    <row r="48" spans="1:11" ht="15.75">
      <c r="A48" s="18">
        <v>129</v>
      </c>
      <c r="B48" s="22" t="s">
        <v>56</v>
      </c>
      <c r="C48" s="23">
        <v>12</v>
      </c>
      <c r="D48" s="23">
        <v>32</v>
      </c>
      <c r="E48" s="23">
        <v>32</v>
      </c>
      <c r="F48" s="23">
        <v>20</v>
      </c>
      <c r="G48" s="24">
        <v>45106</v>
      </c>
      <c r="H48" s="222">
        <f t="shared" si="6"/>
        <v>0.625</v>
      </c>
      <c r="I48" s="34">
        <f t="shared" si="7"/>
        <v>-12</v>
      </c>
      <c r="K48" s="232"/>
    </row>
    <row r="49" spans="1:11" ht="15.75">
      <c r="A49" s="18">
        <v>138</v>
      </c>
      <c r="B49" s="67" t="s">
        <v>132</v>
      </c>
      <c r="C49" s="23">
        <v>31</v>
      </c>
      <c r="D49" s="23">
        <v>31</v>
      </c>
      <c r="E49" s="23">
        <v>31</v>
      </c>
      <c r="F49" s="23">
        <v>29</v>
      </c>
      <c r="G49" s="24">
        <v>45043</v>
      </c>
      <c r="H49" s="222">
        <f t="shared" si="6"/>
        <v>0.9354838709677419</v>
      </c>
      <c r="I49" s="34">
        <f t="shared" si="7"/>
        <v>-2</v>
      </c>
      <c r="K49" s="232"/>
    </row>
    <row r="50" spans="1:11" ht="15.75">
      <c r="A50" s="18">
        <v>161</v>
      </c>
      <c r="B50" s="67" t="s">
        <v>181</v>
      </c>
      <c r="C50" s="23"/>
      <c r="D50" s="23">
        <v>2</v>
      </c>
      <c r="E50" s="23">
        <v>2</v>
      </c>
      <c r="F50" s="23">
        <v>0</v>
      </c>
      <c r="G50" s="24"/>
      <c r="H50" s="222">
        <f t="shared" si="6"/>
        <v>0</v>
      </c>
      <c r="I50" s="34">
        <f t="shared" si="7"/>
        <v>-2</v>
      </c>
      <c r="K50" s="232"/>
    </row>
    <row r="51" spans="1:11" ht="15.75">
      <c r="A51" s="18">
        <v>184</v>
      </c>
      <c r="B51" s="22" t="s">
        <v>36</v>
      </c>
      <c r="C51" s="23">
        <v>34</v>
      </c>
      <c r="D51" s="23">
        <v>39</v>
      </c>
      <c r="E51" s="23">
        <v>39</v>
      </c>
      <c r="F51" s="23">
        <v>38</v>
      </c>
      <c r="G51" s="24">
        <v>45120</v>
      </c>
      <c r="H51" s="222">
        <f t="shared" si="6"/>
        <v>0.9743589743589743</v>
      </c>
      <c r="I51" s="34">
        <f t="shared" si="7"/>
        <v>-1</v>
      </c>
      <c r="K51" s="232"/>
    </row>
    <row r="52" spans="1:11" ht="15.75">
      <c r="A52" s="18">
        <v>189</v>
      </c>
      <c r="B52" s="22" t="s">
        <v>57</v>
      </c>
      <c r="C52" s="23">
        <v>25</v>
      </c>
      <c r="D52" s="23">
        <v>17</v>
      </c>
      <c r="E52" s="23">
        <v>17</v>
      </c>
      <c r="F52" s="23">
        <v>16</v>
      </c>
      <c r="G52" s="80">
        <v>44965</v>
      </c>
      <c r="H52" s="222">
        <f t="shared" si="6"/>
        <v>0.9411764705882353</v>
      </c>
      <c r="I52" s="34">
        <f t="shared" si="7"/>
        <v>-1</v>
      </c>
      <c r="K52" s="232"/>
    </row>
    <row r="53" spans="1:255" ht="15.75">
      <c r="A53" s="18">
        <v>193</v>
      </c>
      <c r="B53" s="22" t="s">
        <v>58</v>
      </c>
      <c r="C53" s="23">
        <v>173</v>
      </c>
      <c r="D53" s="23">
        <v>181</v>
      </c>
      <c r="E53" s="23">
        <v>179</v>
      </c>
      <c r="F53" s="23">
        <v>114</v>
      </c>
      <c r="G53" s="24">
        <v>45078</v>
      </c>
      <c r="H53" s="222">
        <f t="shared" si="6"/>
        <v>0.6368715083798883</v>
      </c>
      <c r="I53" s="34">
        <f t="shared" si="7"/>
        <v>-65</v>
      </c>
      <c r="K53" s="232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</row>
    <row r="54" spans="1:255" ht="15.75">
      <c r="A54" s="170">
        <v>204</v>
      </c>
      <c r="B54" s="67" t="s">
        <v>163</v>
      </c>
      <c r="C54" s="23">
        <v>13</v>
      </c>
      <c r="D54" s="23">
        <f>15</f>
        <v>15</v>
      </c>
      <c r="E54" s="23">
        <v>15</v>
      </c>
      <c r="F54" s="23">
        <v>28</v>
      </c>
      <c r="G54" s="24">
        <v>45043</v>
      </c>
      <c r="H54" s="222">
        <f t="shared" si="6"/>
        <v>1.8666666666666667</v>
      </c>
      <c r="I54" s="34">
        <f t="shared" si="7"/>
        <v>13</v>
      </c>
      <c r="K54" s="232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</row>
    <row r="55" spans="1:11" ht="15.75">
      <c r="A55" s="18">
        <v>234</v>
      </c>
      <c r="B55" s="22" t="s">
        <v>27</v>
      </c>
      <c r="C55" s="23">
        <v>16</v>
      </c>
      <c r="D55" s="23">
        <v>20</v>
      </c>
      <c r="E55" s="23">
        <v>20</v>
      </c>
      <c r="F55" s="23">
        <v>1</v>
      </c>
      <c r="G55" s="24">
        <v>45001</v>
      </c>
      <c r="H55" s="222">
        <f t="shared" si="6"/>
        <v>0.05</v>
      </c>
      <c r="I55" s="34">
        <f t="shared" si="7"/>
        <v>-19</v>
      </c>
      <c r="K55" s="232"/>
    </row>
    <row r="56" spans="1:11" ht="15.75">
      <c r="A56" s="18">
        <v>244</v>
      </c>
      <c r="B56" s="22" t="s">
        <v>43</v>
      </c>
      <c r="C56" s="23">
        <f>40+6</f>
        <v>46</v>
      </c>
      <c r="D56" s="23">
        <v>58</v>
      </c>
      <c r="E56" s="23">
        <v>49</v>
      </c>
      <c r="F56" s="23">
        <v>57</v>
      </c>
      <c r="G56" s="24">
        <v>45035</v>
      </c>
      <c r="H56" s="222">
        <f t="shared" si="6"/>
        <v>1.163265306122449</v>
      </c>
      <c r="I56" s="34">
        <f t="shared" si="7"/>
        <v>8</v>
      </c>
      <c r="K56" s="232"/>
    </row>
    <row r="57" spans="1:11" ht="15.75">
      <c r="A57" s="18">
        <v>279</v>
      </c>
      <c r="B57" s="22" t="s">
        <v>39</v>
      </c>
      <c r="C57" s="23">
        <v>15</v>
      </c>
      <c r="D57" s="23">
        <v>29</v>
      </c>
      <c r="E57" s="23">
        <v>29</v>
      </c>
      <c r="F57" s="23">
        <v>45</v>
      </c>
      <c r="G57" s="24">
        <v>45043</v>
      </c>
      <c r="H57" s="222">
        <f t="shared" si="6"/>
        <v>1.5517241379310345</v>
      </c>
      <c r="I57" s="34">
        <f t="shared" si="7"/>
        <v>16</v>
      </c>
      <c r="K57" s="232"/>
    </row>
    <row r="58" spans="1:9" ht="15.75">
      <c r="A58" s="18">
        <v>288</v>
      </c>
      <c r="B58" s="22" t="s">
        <v>59</v>
      </c>
      <c r="C58" s="23">
        <v>6</v>
      </c>
      <c r="D58" s="23">
        <v>1</v>
      </c>
      <c r="E58" s="23">
        <v>4</v>
      </c>
      <c r="F58" s="23">
        <v>1</v>
      </c>
      <c r="G58" s="24">
        <v>44994</v>
      </c>
      <c r="H58" s="222">
        <f t="shared" si="6"/>
        <v>0.25</v>
      </c>
      <c r="I58" s="34">
        <f t="shared" si="7"/>
        <v>-3</v>
      </c>
    </row>
    <row r="59" spans="1:9" ht="15.75">
      <c r="A59" s="170">
        <v>306</v>
      </c>
      <c r="B59" s="280" t="s">
        <v>186</v>
      </c>
      <c r="C59" s="23">
        <v>0</v>
      </c>
      <c r="D59" s="23">
        <v>0</v>
      </c>
      <c r="E59" s="23">
        <v>3</v>
      </c>
      <c r="F59" s="23">
        <v>6</v>
      </c>
      <c r="G59" s="24">
        <v>45093</v>
      </c>
      <c r="H59" s="222">
        <f t="shared" si="6"/>
        <v>2</v>
      </c>
      <c r="I59" s="34">
        <f t="shared" si="7"/>
        <v>3</v>
      </c>
    </row>
    <row r="60" spans="1:11" ht="15.75">
      <c r="A60" s="18">
        <v>373</v>
      </c>
      <c r="B60" s="22" t="s">
        <v>28</v>
      </c>
      <c r="C60" s="23">
        <v>59</v>
      </c>
      <c r="D60" s="23">
        <v>62</v>
      </c>
      <c r="E60" s="23">
        <v>62</v>
      </c>
      <c r="F60" s="23">
        <v>66</v>
      </c>
      <c r="G60" s="24">
        <v>45106</v>
      </c>
      <c r="H60" s="222">
        <f t="shared" si="6"/>
        <v>1.064516129032258</v>
      </c>
      <c r="I60" s="34">
        <f t="shared" si="7"/>
        <v>4</v>
      </c>
      <c r="K60" s="232"/>
    </row>
    <row r="61" spans="1:11" ht="15.75">
      <c r="A61" s="18">
        <v>414</v>
      </c>
      <c r="B61" s="22" t="s">
        <v>123</v>
      </c>
      <c r="C61" s="23">
        <v>68</v>
      </c>
      <c r="D61" s="23">
        <v>68</v>
      </c>
      <c r="E61" s="23">
        <v>67</v>
      </c>
      <c r="F61" s="23">
        <v>80</v>
      </c>
      <c r="G61" s="24">
        <v>45063</v>
      </c>
      <c r="H61" s="222">
        <f t="shared" si="6"/>
        <v>1.1940298507462686</v>
      </c>
      <c r="I61" s="34">
        <f t="shared" si="7"/>
        <v>13</v>
      </c>
      <c r="K61" s="232"/>
    </row>
    <row r="62" spans="1:11" ht="15.75">
      <c r="A62" s="18">
        <v>429</v>
      </c>
      <c r="B62" s="22" t="s">
        <v>11</v>
      </c>
      <c r="C62" s="23">
        <v>8</v>
      </c>
      <c r="D62" s="23">
        <v>7</v>
      </c>
      <c r="E62" s="23">
        <v>7</v>
      </c>
      <c r="F62" s="23">
        <v>2</v>
      </c>
      <c r="G62" s="45">
        <v>45035</v>
      </c>
      <c r="H62" s="222">
        <f t="shared" si="6"/>
        <v>0.2857142857142857</v>
      </c>
      <c r="I62" s="34">
        <f t="shared" si="7"/>
        <v>-5</v>
      </c>
      <c r="K62" s="232"/>
    </row>
    <row r="63" spans="1:11" ht="15.75">
      <c r="A63" s="18">
        <v>435</v>
      </c>
      <c r="B63" s="22" t="s">
        <v>120</v>
      </c>
      <c r="C63" s="23">
        <v>67</v>
      </c>
      <c r="D63" s="23">
        <v>87</v>
      </c>
      <c r="E63" s="23">
        <v>87</v>
      </c>
      <c r="F63" s="23">
        <v>91</v>
      </c>
      <c r="G63" s="45">
        <v>45134</v>
      </c>
      <c r="H63" s="222">
        <f t="shared" si="6"/>
        <v>1.0459770114942528</v>
      </c>
      <c r="I63" s="34">
        <f t="shared" si="7"/>
        <v>4</v>
      </c>
      <c r="K63" s="232"/>
    </row>
    <row r="64" spans="1:11" ht="16.5" thickBot="1">
      <c r="A64" s="18">
        <v>443</v>
      </c>
      <c r="B64" s="22" t="s">
        <v>119</v>
      </c>
      <c r="C64" s="52">
        <v>109</v>
      </c>
      <c r="D64" s="52">
        <v>122</v>
      </c>
      <c r="E64" s="52">
        <v>123</v>
      </c>
      <c r="F64" s="52">
        <v>114</v>
      </c>
      <c r="G64" s="53">
        <v>45106</v>
      </c>
      <c r="H64" s="223">
        <f t="shared" si="6"/>
        <v>0.926829268292683</v>
      </c>
      <c r="I64" s="42">
        <f t="shared" si="7"/>
        <v>-9</v>
      </c>
      <c r="K64" s="232"/>
    </row>
    <row r="65" spans="1:9" s="56" customFormat="1" ht="15.75">
      <c r="A65" s="18"/>
      <c r="B65" s="22" t="s">
        <v>7</v>
      </c>
      <c r="C65" s="46">
        <f>SUM(C40:C64)</f>
        <v>920</v>
      </c>
      <c r="D65" s="46">
        <f>SUM(D40:D64)</f>
        <v>999</v>
      </c>
      <c r="E65" s="46">
        <f>SUM(E40:E64)</f>
        <v>990</v>
      </c>
      <c r="F65" s="46">
        <f>SUM(F40:F64)</f>
        <v>917</v>
      </c>
      <c r="G65" s="49"/>
      <c r="H65" s="224">
        <f>F65/E65</f>
        <v>0.9262626262626262</v>
      </c>
      <c r="I65" s="63">
        <f>F65-E65</f>
        <v>-73</v>
      </c>
    </row>
    <row r="66" spans="1:9" ht="15.75">
      <c r="A66" s="18"/>
      <c r="B66" s="19"/>
      <c r="C66" s="15"/>
      <c r="D66" s="15"/>
      <c r="E66" s="272" t="s">
        <v>187</v>
      </c>
      <c r="F66" s="15"/>
      <c r="G66" s="20" t="s">
        <v>22</v>
      </c>
      <c r="H66" s="225"/>
      <c r="I66" s="19" t="s">
        <v>2</v>
      </c>
    </row>
    <row r="67" spans="1:9" ht="16.5" thickBot="1">
      <c r="A67" s="18"/>
      <c r="B67" s="22" t="s">
        <v>12</v>
      </c>
      <c r="C67" s="122">
        <v>2021</v>
      </c>
      <c r="D67" s="122">
        <v>2022</v>
      </c>
      <c r="E67" s="274">
        <v>2023</v>
      </c>
      <c r="F67" s="122">
        <v>2023</v>
      </c>
      <c r="G67" s="20" t="s">
        <v>34</v>
      </c>
      <c r="H67" s="226" t="s">
        <v>1</v>
      </c>
      <c r="I67" s="41">
        <v>1</v>
      </c>
    </row>
    <row r="68" spans="1:9" ht="15.75">
      <c r="A68" s="18">
        <v>19</v>
      </c>
      <c r="B68" s="22" t="s">
        <v>13</v>
      </c>
      <c r="C68" s="98">
        <v>33</v>
      </c>
      <c r="D68" s="98">
        <v>33</v>
      </c>
      <c r="E68" s="98">
        <v>33</v>
      </c>
      <c r="F68" s="98">
        <v>33</v>
      </c>
      <c r="G68" s="51">
        <v>44937</v>
      </c>
      <c r="H68" s="222">
        <f>F68/E68</f>
        <v>1</v>
      </c>
      <c r="I68" s="34">
        <f>F68-E68</f>
        <v>0</v>
      </c>
    </row>
    <row r="69" spans="1:9" ht="15.75">
      <c r="A69" s="18">
        <v>39</v>
      </c>
      <c r="B69" s="22" t="s">
        <v>14</v>
      </c>
      <c r="C69" s="23">
        <v>82</v>
      </c>
      <c r="D69" s="23">
        <v>79</v>
      </c>
      <c r="E69" s="23">
        <v>79</v>
      </c>
      <c r="F69" s="23">
        <v>78</v>
      </c>
      <c r="G69" s="24">
        <v>44994</v>
      </c>
      <c r="H69" s="222">
        <f aca="true" t="shared" si="8" ref="H69:H92">F69/E69</f>
        <v>0.9873417721518988</v>
      </c>
      <c r="I69" s="34">
        <f aca="true" t="shared" si="9" ref="I69:I92">F69-E69</f>
        <v>-1</v>
      </c>
    </row>
    <row r="70" spans="1:9" ht="15.75">
      <c r="A70" s="18">
        <v>45</v>
      </c>
      <c r="B70" s="22" t="s">
        <v>60</v>
      </c>
      <c r="C70" s="23">
        <v>114</v>
      </c>
      <c r="D70" s="23">
        <v>119</v>
      </c>
      <c r="E70" s="23">
        <v>119</v>
      </c>
      <c r="F70" s="23">
        <v>124</v>
      </c>
      <c r="G70" s="24">
        <v>45093</v>
      </c>
      <c r="H70" s="222">
        <f t="shared" si="8"/>
        <v>1.0420168067226891</v>
      </c>
      <c r="I70" s="34">
        <f t="shared" si="9"/>
        <v>5</v>
      </c>
    </row>
    <row r="71" spans="1:11" ht="15.75">
      <c r="A71" s="18">
        <v>62</v>
      </c>
      <c r="B71" s="22" t="s">
        <v>61</v>
      </c>
      <c r="C71" s="23">
        <v>36</v>
      </c>
      <c r="D71" s="23">
        <v>65</v>
      </c>
      <c r="E71" s="23">
        <v>65</v>
      </c>
      <c r="F71" s="23">
        <v>53</v>
      </c>
      <c r="G71" s="24">
        <v>45043</v>
      </c>
      <c r="H71" s="222">
        <f t="shared" si="8"/>
        <v>0.8153846153846154</v>
      </c>
      <c r="I71" s="34">
        <f t="shared" si="9"/>
        <v>-12</v>
      </c>
      <c r="K71" s="232"/>
    </row>
    <row r="72" spans="1:11" ht="15.75">
      <c r="A72" s="18">
        <v>69</v>
      </c>
      <c r="B72" s="22" t="s">
        <v>62</v>
      </c>
      <c r="C72" s="23">
        <v>21</v>
      </c>
      <c r="D72" s="23">
        <v>22</v>
      </c>
      <c r="E72" s="23">
        <v>22</v>
      </c>
      <c r="F72" s="23">
        <v>28</v>
      </c>
      <c r="G72" s="24">
        <v>45050</v>
      </c>
      <c r="H72" s="222">
        <f t="shared" si="8"/>
        <v>1.2727272727272727</v>
      </c>
      <c r="I72" s="34">
        <f t="shared" si="9"/>
        <v>6</v>
      </c>
      <c r="K72" s="232"/>
    </row>
    <row r="73" spans="1:11" ht="15.75">
      <c r="A73" s="18">
        <v>87</v>
      </c>
      <c r="B73" s="22" t="s">
        <v>64</v>
      </c>
      <c r="C73" s="23">
        <v>0</v>
      </c>
      <c r="D73" s="23">
        <v>23</v>
      </c>
      <c r="E73" s="23">
        <v>23</v>
      </c>
      <c r="F73" s="23">
        <v>1</v>
      </c>
      <c r="G73" s="24">
        <v>45028</v>
      </c>
      <c r="H73" s="222">
        <f t="shared" si="8"/>
        <v>0.043478260869565216</v>
      </c>
      <c r="I73" s="34">
        <f t="shared" si="9"/>
        <v>-22</v>
      </c>
      <c r="K73" s="232"/>
    </row>
    <row r="74" spans="1:11" ht="15.75">
      <c r="A74" s="18">
        <v>101</v>
      </c>
      <c r="B74" s="22" t="s">
        <v>65</v>
      </c>
      <c r="C74" s="23">
        <v>98</v>
      </c>
      <c r="D74" s="23">
        <v>91</v>
      </c>
      <c r="E74" s="23">
        <v>91</v>
      </c>
      <c r="F74" s="23">
        <v>92</v>
      </c>
      <c r="G74" s="24">
        <v>45112</v>
      </c>
      <c r="H74" s="222">
        <f t="shared" si="8"/>
        <v>1.010989010989011</v>
      </c>
      <c r="I74" s="34">
        <f t="shared" si="9"/>
        <v>1</v>
      </c>
      <c r="K74" s="232"/>
    </row>
    <row r="75" spans="1:11" ht="15.75">
      <c r="A75" s="18">
        <v>107</v>
      </c>
      <c r="B75" s="22" t="s">
        <v>66</v>
      </c>
      <c r="C75" s="23">
        <v>5</v>
      </c>
      <c r="D75" s="23">
        <v>5</v>
      </c>
      <c r="E75" s="23">
        <v>5</v>
      </c>
      <c r="F75" s="23">
        <v>5</v>
      </c>
      <c r="G75" s="24">
        <v>44902</v>
      </c>
      <c r="H75" s="222">
        <f t="shared" si="8"/>
        <v>1</v>
      </c>
      <c r="I75" s="34">
        <f t="shared" si="9"/>
        <v>0</v>
      </c>
      <c r="K75" s="232"/>
    </row>
    <row r="76" spans="1:11" ht="15.75">
      <c r="A76" s="18">
        <v>115</v>
      </c>
      <c r="B76" s="22" t="s">
        <v>44</v>
      </c>
      <c r="C76" s="23">
        <v>35</v>
      </c>
      <c r="D76" s="23">
        <v>39</v>
      </c>
      <c r="E76" s="23">
        <v>39</v>
      </c>
      <c r="F76" s="23">
        <v>44</v>
      </c>
      <c r="G76" s="24">
        <v>45106</v>
      </c>
      <c r="H76" s="222">
        <f t="shared" si="8"/>
        <v>1.1282051282051282</v>
      </c>
      <c r="I76" s="34">
        <f t="shared" si="9"/>
        <v>5</v>
      </c>
      <c r="K76" s="232"/>
    </row>
    <row r="77" spans="1:11" ht="15.75">
      <c r="A77" s="18">
        <v>132</v>
      </c>
      <c r="B77" s="22" t="s">
        <v>67</v>
      </c>
      <c r="C77" s="23">
        <v>58</v>
      </c>
      <c r="D77" s="23">
        <v>62</v>
      </c>
      <c r="E77" s="23">
        <v>62</v>
      </c>
      <c r="F77" s="23">
        <v>51</v>
      </c>
      <c r="G77" s="24">
        <v>45093</v>
      </c>
      <c r="H77" s="222">
        <f t="shared" si="8"/>
        <v>0.8225806451612904</v>
      </c>
      <c r="I77" s="34">
        <f t="shared" si="9"/>
        <v>-11</v>
      </c>
      <c r="K77" s="232"/>
    </row>
    <row r="78" spans="1:11" ht="15.75">
      <c r="A78" s="18">
        <v>136</v>
      </c>
      <c r="B78" s="22" t="s">
        <v>68</v>
      </c>
      <c r="C78" s="23">
        <v>35</v>
      </c>
      <c r="D78" s="23">
        <v>39</v>
      </c>
      <c r="E78" s="23">
        <v>33</v>
      </c>
      <c r="F78" s="23">
        <v>30</v>
      </c>
      <c r="G78" s="24">
        <v>45120</v>
      </c>
      <c r="H78" s="222">
        <f t="shared" si="8"/>
        <v>0.9090909090909091</v>
      </c>
      <c r="I78" s="34">
        <f t="shared" si="9"/>
        <v>-3</v>
      </c>
      <c r="K78" s="232"/>
    </row>
    <row r="79" spans="1:11" ht="15.75">
      <c r="A79" s="18">
        <v>139</v>
      </c>
      <c r="B79" s="22" t="s">
        <v>69</v>
      </c>
      <c r="C79" s="23">
        <v>5</v>
      </c>
      <c r="D79" s="23">
        <f>5</f>
        <v>5</v>
      </c>
      <c r="E79" s="23">
        <v>5</v>
      </c>
      <c r="F79" s="23">
        <v>5</v>
      </c>
      <c r="G79" s="24">
        <v>44830</v>
      </c>
      <c r="H79" s="222">
        <f t="shared" si="8"/>
        <v>1</v>
      </c>
      <c r="I79" s="34">
        <f t="shared" si="9"/>
        <v>0</v>
      </c>
      <c r="K79" s="232"/>
    </row>
    <row r="80" spans="1:11" ht="15.75">
      <c r="A80" s="18">
        <v>156</v>
      </c>
      <c r="B80" s="22" t="s">
        <v>38</v>
      </c>
      <c r="C80" s="23">
        <v>51</v>
      </c>
      <c r="D80" s="23">
        <v>59</v>
      </c>
      <c r="E80" s="23">
        <v>60</v>
      </c>
      <c r="F80" s="23">
        <v>53</v>
      </c>
      <c r="G80" s="24">
        <v>45078</v>
      </c>
      <c r="H80" s="222">
        <f t="shared" si="8"/>
        <v>0.8833333333333333</v>
      </c>
      <c r="I80" s="34">
        <f t="shared" si="9"/>
        <v>-7</v>
      </c>
      <c r="K80" s="232"/>
    </row>
    <row r="81" spans="1:11" ht="15.75">
      <c r="A81" s="18">
        <v>159</v>
      </c>
      <c r="B81" s="22" t="s">
        <v>70</v>
      </c>
      <c r="C81" s="23">
        <v>33</v>
      </c>
      <c r="D81" s="23">
        <v>34</v>
      </c>
      <c r="E81" s="23">
        <v>34</v>
      </c>
      <c r="F81" s="23">
        <v>35</v>
      </c>
      <c r="G81" s="24">
        <v>44874</v>
      </c>
      <c r="H81" s="222">
        <f t="shared" si="8"/>
        <v>1.0294117647058822</v>
      </c>
      <c r="I81" s="34">
        <f t="shared" si="9"/>
        <v>1</v>
      </c>
      <c r="K81" s="232"/>
    </row>
    <row r="82" spans="1:11" ht="15.75">
      <c r="A82" s="18">
        <v>183</v>
      </c>
      <c r="B82" s="22" t="s">
        <v>71</v>
      </c>
      <c r="C82" s="23">
        <v>4</v>
      </c>
      <c r="D82" s="23">
        <v>4</v>
      </c>
      <c r="E82" s="23">
        <v>4</v>
      </c>
      <c r="F82" s="23">
        <v>4</v>
      </c>
      <c r="G82" s="24">
        <v>44916</v>
      </c>
      <c r="H82" s="222">
        <f t="shared" si="8"/>
        <v>1</v>
      </c>
      <c r="I82" s="34">
        <f t="shared" si="9"/>
        <v>0</v>
      </c>
      <c r="K82" s="232"/>
    </row>
    <row r="83" spans="1:11" ht="15.75">
      <c r="A83" s="18">
        <v>191</v>
      </c>
      <c r="B83" s="22" t="s">
        <v>72</v>
      </c>
      <c r="C83" s="23">
        <v>16</v>
      </c>
      <c r="D83" s="23">
        <v>26</v>
      </c>
      <c r="E83" s="23">
        <v>17</v>
      </c>
      <c r="F83" s="23">
        <v>22</v>
      </c>
      <c r="G83" s="24">
        <v>44971</v>
      </c>
      <c r="H83" s="222">
        <f t="shared" si="8"/>
        <v>1.2941176470588236</v>
      </c>
      <c r="I83" s="34">
        <f t="shared" si="9"/>
        <v>5</v>
      </c>
      <c r="K83" s="232"/>
    </row>
    <row r="84" spans="1:11" ht="15.75">
      <c r="A84" s="18">
        <v>221</v>
      </c>
      <c r="B84" s="22" t="s">
        <v>73</v>
      </c>
      <c r="C84" s="23">
        <v>74</v>
      </c>
      <c r="D84" s="23">
        <v>108</v>
      </c>
      <c r="E84" s="23">
        <v>99</v>
      </c>
      <c r="F84" s="23">
        <v>120</v>
      </c>
      <c r="G84" s="80">
        <v>45134</v>
      </c>
      <c r="H84" s="222">
        <f t="shared" si="8"/>
        <v>1.2121212121212122</v>
      </c>
      <c r="I84" s="34">
        <f t="shared" si="9"/>
        <v>21</v>
      </c>
      <c r="K84" s="232"/>
    </row>
    <row r="85" spans="1:9" ht="15.75">
      <c r="A85" s="18">
        <v>247</v>
      </c>
      <c r="B85" s="22" t="s">
        <v>74</v>
      </c>
      <c r="C85" s="23">
        <v>12</v>
      </c>
      <c r="D85" s="23">
        <v>11</v>
      </c>
      <c r="E85" s="23">
        <v>6</v>
      </c>
      <c r="F85" s="23">
        <v>13</v>
      </c>
      <c r="G85" s="24">
        <v>45112</v>
      </c>
      <c r="H85" s="222">
        <f t="shared" si="8"/>
        <v>2.1666666666666665</v>
      </c>
      <c r="I85" s="34">
        <f t="shared" si="9"/>
        <v>7</v>
      </c>
    </row>
    <row r="86" spans="1:11" ht="15.75">
      <c r="A86" s="18">
        <v>273</v>
      </c>
      <c r="B86" s="22" t="s">
        <v>75</v>
      </c>
      <c r="C86" s="23">
        <v>86</v>
      </c>
      <c r="D86" s="23">
        <v>86</v>
      </c>
      <c r="E86" s="23">
        <v>86</v>
      </c>
      <c r="F86" s="23">
        <v>97</v>
      </c>
      <c r="G86" s="24">
        <v>45093</v>
      </c>
      <c r="H86" s="222">
        <f t="shared" si="8"/>
        <v>1.127906976744186</v>
      </c>
      <c r="I86" s="34">
        <f t="shared" si="9"/>
        <v>11</v>
      </c>
      <c r="K86" s="232"/>
    </row>
    <row r="87" spans="1:11" ht="15.75">
      <c r="A87" s="18">
        <v>313</v>
      </c>
      <c r="B87" s="22" t="s">
        <v>35</v>
      </c>
      <c r="C87" s="23">
        <v>26</v>
      </c>
      <c r="D87" s="23">
        <v>27</v>
      </c>
      <c r="E87" s="23">
        <v>25</v>
      </c>
      <c r="F87" s="23">
        <v>26</v>
      </c>
      <c r="G87" s="45">
        <v>45093</v>
      </c>
      <c r="H87" s="222">
        <f t="shared" si="8"/>
        <v>1.04</v>
      </c>
      <c r="I87" s="34">
        <f t="shared" si="9"/>
        <v>1</v>
      </c>
      <c r="K87" s="232"/>
    </row>
    <row r="88" spans="1:11" ht="15.75">
      <c r="A88" s="18">
        <v>315</v>
      </c>
      <c r="B88" s="22" t="s">
        <v>76</v>
      </c>
      <c r="C88" s="23">
        <v>52</v>
      </c>
      <c r="D88" s="23">
        <v>54</v>
      </c>
      <c r="E88" s="23">
        <v>53</v>
      </c>
      <c r="F88" s="23">
        <v>49</v>
      </c>
      <c r="G88" s="45">
        <v>45093</v>
      </c>
      <c r="H88" s="222">
        <f t="shared" si="8"/>
        <v>0.9245283018867925</v>
      </c>
      <c r="I88" s="34">
        <f t="shared" si="9"/>
        <v>-4</v>
      </c>
      <c r="K88" s="232"/>
    </row>
    <row r="89" spans="1:11" ht="15.75">
      <c r="A89" s="18">
        <v>361</v>
      </c>
      <c r="B89" s="67" t="s">
        <v>77</v>
      </c>
      <c r="C89" s="23">
        <v>18</v>
      </c>
      <c r="D89" s="23">
        <v>13</v>
      </c>
      <c r="E89" s="23">
        <v>14</v>
      </c>
      <c r="F89" s="23">
        <v>13</v>
      </c>
      <c r="G89" s="45">
        <v>44922</v>
      </c>
      <c r="H89" s="222">
        <f t="shared" si="8"/>
        <v>0.9285714285714286</v>
      </c>
      <c r="I89" s="34">
        <f t="shared" si="9"/>
        <v>-1</v>
      </c>
      <c r="K89" s="232"/>
    </row>
    <row r="90" spans="1:11" ht="15.75">
      <c r="A90" s="18">
        <v>437</v>
      </c>
      <c r="B90" s="22" t="s">
        <v>78</v>
      </c>
      <c r="C90" s="23">
        <v>75</v>
      </c>
      <c r="D90" s="23">
        <v>72</v>
      </c>
      <c r="E90" s="23">
        <v>73</v>
      </c>
      <c r="F90" s="23">
        <v>70</v>
      </c>
      <c r="G90" s="45">
        <v>45035</v>
      </c>
      <c r="H90" s="222">
        <f t="shared" si="8"/>
        <v>0.958904109589041</v>
      </c>
      <c r="I90" s="34">
        <f t="shared" si="9"/>
        <v>-3</v>
      </c>
      <c r="K90" s="232"/>
    </row>
    <row r="91" spans="1:11" ht="15.75">
      <c r="A91" s="18">
        <v>440</v>
      </c>
      <c r="B91" s="22" t="s">
        <v>79</v>
      </c>
      <c r="C91" s="23">
        <v>141</v>
      </c>
      <c r="D91" s="23">
        <v>176</v>
      </c>
      <c r="E91" s="23">
        <v>167</v>
      </c>
      <c r="F91" s="23">
        <v>154</v>
      </c>
      <c r="G91" s="80">
        <v>45056</v>
      </c>
      <c r="H91" s="222">
        <f t="shared" si="8"/>
        <v>0.9221556886227545</v>
      </c>
      <c r="I91" s="34">
        <f t="shared" si="9"/>
        <v>-13</v>
      </c>
      <c r="K91" s="232"/>
    </row>
    <row r="92" spans="1:11" ht="16.5" thickBot="1">
      <c r="A92" s="7">
        <v>442</v>
      </c>
      <c r="B92" s="22" t="s">
        <v>133</v>
      </c>
      <c r="C92" s="88">
        <v>20</v>
      </c>
      <c r="D92" s="88">
        <v>26</v>
      </c>
      <c r="E92" s="88">
        <v>24</v>
      </c>
      <c r="F92" s="88">
        <v>21</v>
      </c>
      <c r="G92" s="89">
        <v>45120</v>
      </c>
      <c r="H92" s="223">
        <f t="shared" si="8"/>
        <v>0.875</v>
      </c>
      <c r="I92" s="42">
        <f t="shared" si="9"/>
        <v>-3</v>
      </c>
      <c r="K92" s="232"/>
    </row>
    <row r="93" spans="1:9" s="56" customFormat="1" ht="15.75">
      <c r="A93" s="18"/>
      <c r="B93" s="22" t="s">
        <v>7</v>
      </c>
      <c r="C93" s="46">
        <f>SUM(C68:C92)</f>
        <v>1130</v>
      </c>
      <c r="D93" s="46">
        <f>SUM(D68:D92)</f>
        <v>1278</v>
      </c>
      <c r="E93" s="46">
        <f>SUM(E68:E92)</f>
        <v>1238</v>
      </c>
      <c r="F93" s="46">
        <f>SUM(F68:F92)</f>
        <v>1221</v>
      </c>
      <c r="G93" s="49"/>
      <c r="H93" s="224">
        <f>F93/E93</f>
        <v>0.9862681744749596</v>
      </c>
      <c r="I93" s="63">
        <f>F93-E93</f>
        <v>-17</v>
      </c>
    </row>
    <row r="94" spans="1:9" ht="15.75">
      <c r="A94" s="18"/>
      <c r="B94" s="19"/>
      <c r="C94" s="15"/>
      <c r="D94" s="15"/>
      <c r="E94" s="272" t="s">
        <v>187</v>
      </c>
      <c r="F94" s="15"/>
      <c r="G94" s="20" t="s">
        <v>22</v>
      </c>
      <c r="H94" s="225"/>
      <c r="I94" s="19" t="s">
        <v>2</v>
      </c>
    </row>
    <row r="95" spans="1:9" ht="16.5" thickBot="1">
      <c r="A95" s="18"/>
      <c r="B95" s="22" t="s">
        <v>15</v>
      </c>
      <c r="C95" s="121">
        <v>2021</v>
      </c>
      <c r="D95" s="121">
        <v>2022</v>
      </c>
      <c r="E95" s="272">
        <v>2023</v>
      </c>
      <c r="F95" s="122">
        <v>2023</v>
      </c>
      <c r="G95" s="44" t="s">
        <v>34</v>
      </c>
      <c r="H95" s="226" t="s">
        <v>1</v>
      </c>
      <c r="I95" s="41">
        <v>1</v>
      </c>
    </row>
    <row r="96" spans="1:9" ht="15.75">
      <c r="A96" s="18">
        <v>18</v>
      </c>
      <c r="B96" s="22" t="s">
        <v>80</v>
      </c>
      <c r="C96" s="50">
        <v>238</v>
      </c>
      <c r="D96" s="50">
        <v>218</v>
      </c>
      <c r="E96" s="50">
        <v>219</v>
      </c>
      <c r="F96" s="50">
        <v>182</v>
      </c>
      <c r="G96" s="51">
        <v>45061</v>
      </c>
      <c r="H96" s="222">
        <f>F96/E96</f>
        <v>0.8310502283105022</v>
      </c>
      <c r="I96" s="34">
        <f>F96-E96</f>
        <v>-37</v>
      </c>
    </row>
    <row r="97" spans="1:9" ht="15.75">
      <c r="A97" s="18">
        <v>24</v>
      </c>
      <c r="B97" s="22" t="s">
        <v>81</v>
      </c>
      <c r="C97" s="23">
        <v>152</v>
      </c>
      <c r="D97" s="23">
        <v>152</v>
      </c>
      <c r="E97" s="23">
        <v>152</v>
      </c>
      <c r="F97" s="23">
        <v>156</v>
      </c>
      <c r="G97" s="80">
        <v>45093</v>
      </c>
      <c r="H97" s="222">
        <f aca="true" t="shared" si="10" ref="H97:H109">F97/E97</f>
        <v>1.0263157894736843</v>
      </c>
      <c r="I97" s="34">
        <f aca="true" t="shared" si="11" ref="I97:I109">F97-E97</f>
        <v>4</v>
      </c>
    </row>
    <row r="98" spans="1:9" ht="15.75">
      <c r="A98" s="18">
        <v>75</v>
      </c>
      <c r="B98" s="67" t="s">
        <v>165</v>
      </c>
      <c r="C98" s="23">
        <v>1</v>
      </c>
      <c r="D98" s="23">
        <v>2</v>
      </c>
      <c r="E98" s="23">
        <v>1</v>
      </c>
      <c r="F98" s="23">
        <v>5</v>
      </c>
      <c r="G98" s="80">
        <v>44994</v>
      </c>
      <c r="H98" s="222">
        <f t="shared" si="10"/>
        <v>5</v>
      </c>
      <c r="I98" s="34">
        <f t="shared" si="11"/>
        <v>4</v>
      </c>
    </row>
    <row r="99" spans="1:255" ht="15.75">
      <c r="A99" s="18">
        <v>79</v>
      </c>
      <c r="B99" s="22" t="s">
        <v>82</v>
      </c>
      <c r="C99" s="23">
        <v>23</v>
      </c>
      <c r="D99" s="23">
        <v>27</v>
      </c>
      <c r="E99" s="23">
        <v>27</v>
      </c>
      <c r="F99" s="23">
        <v>28</v>
      </c>
      <c r="G99" s="24">
        <v>45022</v>
      </c>
      <c r="H99" s="222">
        <f t="shared" si="10"/>
        <v>1.037037037037037</v>
      </c>
      <c r="I99" s="34">
        <f t="shared" si="11"/>
        <v>1</v>
      </c>
      <c r="K99" s="232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</row>
    <row r="100" spans="1:255" ht="15.75">
      <c r="A100" s="18">
        <v>95</v>
      </c>
      <c r="B100" s="67" t="s">
        <v>173</v>
      </c>
      <c r="C100" s="23">
        <v>6</v>
      </c>
      <c r="D100" s="23">
        <v>13</v>
      </c>
      <c r="E100" s="23">
        <v>13</v>
      </c>
      <c r="F100" s="23">
        <v>7</v>
      </c>
      <c r="G100" s="24">
        <v>44924</v>
      </c>
      <c r="H100" s="222">
        <f t="shared" si="10"/>
        <v>0.5384615384615384</v>
      </c>
      <c r="I100" s="34">
        <f t="shared" si="11"/>
        <v>-6</v>
      </c>
      <c r="K100" s="232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</row>
    <row r="101" spans="1:11" ht="16.5" customHeight="1">
      <c r="A101" s="18">
        <v>106</v>
      </c>
      <c r="B101" s="22" t="s">
        <v>84</v>
      </c>
      <c r="C101" s="23">
        <v>56</v>
      </c>
      <c r="D101" s="23">
        <v>55</v>
      </c>
      <c r="E101" s="23">
        <v>53</v>
      </c>
      <c r="F101" s="23">
        <v>54</v>
      </c>
      <c r="G101" s="24">
        <v>45078</v>
      </c>
      <c r="H101" s="222">
        <f t="shared" si="10"/>
        <v>1.0188679245283019</v>
      </c>
      <c r="I101" s="34">
        <f t="shared" si="11"/>
        <v>1</v>
      </c>
      <c r="K101" s="232"/>
    </row>
    <row r="102" spans="1:11" ht="15.75">
      <c r="A102" s="18">
        <v>110</v>
      </c>
      <c r="B102" s="22" t="s">
        <v>85</v>
      </c>
      <c r="C102" s="23">
        <v>26</v>
      </c>
      <c r="D102" s="23">
        <v>26</v>
      </c>
      <c r="E102" s="23">
        <v>26</v>
      </c>
      <c r="F102" s="23">
        <v>24</v>
      </c>
      <c r="G102" s="24">
        <v>45043</v>
      </c>
      <c r="H102" s="222">
        <f t="shared" si="10"/>
        <v>0.9230769230769231</v>
      </c>
      <c r="I102" s="34">
        <f t="shared" si="11"/>
        <v>-2</v>
      </c>
      <c r="K102" s="232"/>
    </row>
    <row r="103" spans="1:11" ht="15.75">
      <c r="A103" s="18">
        <v>114</v>
      </c>
      <c r="B103" s="22" t="s">
        <v>86</v>
      </c>
      <c r="C103" s="23">
        <v>0</v>
      </c>
      <c r="D103" s="23">
        <v>42</v>
      </c>
      <c r="E103" s="23">
        <v>42</v>
      </c>
      <c r="F103" s="23">
        <v>44</v>
      </c>
      <c r="G103" s="24">
        <v>44971</v>
      </c>
      <c r="H103" s="222">
        <f t="shared" si="10"/>
        <v>1.0476190476190477</v>
      </c>
      <c r="I103" s="34">
        <f t="shared" si="11"/>
        <v>2</v>
      </c>
      <c r="K103" s="232"/>
    </row>
    <row r="104" spans="1:11" ht="15.75">
      <c r="A104" s="18">
        <v>118</v>
      </c>
      <c r="B104" s="22" t="s">
        <v>87</v>
      </c>
      <c r="C104" s="23">
        <v>76</v>
      </c>
      <c r="D104" s="23">
        <v>94</v>
      </c>
      <c r="E104" s="23">
        <v>94</v>
      </c>
      <c r="F104" s="23">
        <v>94</v>
      </c>
      <c r="G104" s="24">
        <v>45022</v>
      </c>
      <c r="H104" s="222">
        <f t="shared" si="10"/>
        <v>1</v>
      </c>
      <c r="I104" s="34">
        <f t="shared" si="11"/>
        <v>0</v>
      </c>
      <c r="K104" s="232"/>
    </row>
    <row r="105" spans="1:11" ht="15.75">
      <c r="A105" s="18">
        <v>209</v>
      </c>
      <c r="B105" s="22" t="s">
        <v>127</v>
      </c>
      <c r="C105" s="23">
        <v>33</v>
      </c>
      <c r="D105" s="23">
        <v>38</v>
      </c>
      <c r="E105" s="23">
        <v>34</v>
      </c>
      <c r="F105" s="23">
        <v>32</v>
      </c>
      <c r="G105" s="24">
        <v>44840</v>
      </c>
      <c r="H105" s="222">
        <f t="shared" si="10"/>
        <v>0.9411764705882353</v>
      </c>
      <c r="I105" s="34">
        <f t="shared" si="11"/>
        <v>-2</v>
      </c>
      <c r="K105" s="232"/>
    </row>
    <row r="106" spans="1:11" ht="15.75">
      <c r="A106" s="18">
        <v>225</v>
      </c>
      <c r="B106" s="22" t="s">
        <v>89</v>
      </c>
      <c r="C106" s="23">
        <v>29</v>
      </c>
      <c r="D106" s="23">
        <v>36</v>
      </c>
      <c r="E106" s="23">
        <v>36</v>
      </c>
      <c r="F106" s="23">
        <v>23</v>
      </c>
      <c r="G106" s="24">
        <v>45078</v>
      </c>
      <c r="H106" s="222">
        <f t="shared" si="10"/>
        <v>0.6388888888888888</v>
      </c>
      <c r="I106" s="34">
        <f t="shared" si="11"/>
        <v>-13</v>
      </c>
      <c r="K106" s="232"/>
    </row>
    <row r="107" spans="1:11" ht="15.75">
      <c r="A107" s="18">
        <v>294</v>
      </c>
      <c r="B107" s="22" t="s">
        <v>29</v>
      </c>
      <c r="C107" s="23">
        <v>123</v>
      </c>
      <c r="D107" s="23">
        <v>155</v>
      </c>
      <c r="E107" s="23">
        <v>156</v>
      </c>
      <c r="F107" s="23">
        <v>102</v>
      </c>
      <c r="G107" s="24">
        <v>45093</v>
      </c>
      <c r="H107" s="222">
        <f t="shared" si="10"/>
        <v>0.6538461538461539</v>
      </c>
      <c r="I107" s="34">
        <f t="shared" si="11"/>
        <v>-54</v>
      </c>
      <c r="K107" s="232"/>
    </row>
    <row r="108" spans="1:11" ht="15.75">
      <c r="A108" s="18">
        <v>380</v>
      </c>
      <c r="B108" s="22" t="s">
        <v>91</v>
      </c>
      <c r="C108" s="23">
        <v>9</v>
      </c>
      <c r="D108" s="23">
        <v>8</v>
      </c>
      <c r="E108" s="23">
        <v>8</v>
      </c>
      <c r="F108" s="23">
        <v>8</v>
      </c>
      <c r="G108" s="24">
        <v>44874</v>
      </c>
      <c r="H108" s="222">
        <f t="shared" si="10"/>
        <v>1</v>
      </c>
      <c r="I108" s="34">
        <f t="shared" si="11"/>
        <v>0</v>
      </c>
      <c r="K108" s="232"/>
    </row>
    <row r="109" spans="1:11" ht="16.5" thickBot="1">
      <c r="A109" s="18">
        <v>382</v>
      </c>
      <c r="B109" s="22" t="s">
        <v>90</v>
      </c>
      <c r="C109" s="52">
        <v>88</v>
      </c>
      <c r="D109" s="52">
        <v>77</v>
      </c>
      <c r="E109" s="52">
        <v>78</v>
      </c>
      <c r="F109" s="52">
        <v>85</v>
      </c>
      <c r="G109" s="53">
        <v>45050</v>
      </c>
      <c r="H109" s="223">
        <f t="shared" si="10"/>
        <v>1.0897435897435896</v>
      </c>
      <c r="I109" s="42">
        <f t="shared" si="11"/>
        <v>7</v>
      </c>
      <c r="K109" s="232"/>
    </row>
    <row r="110" spans="1:9" s="56" customFormat="1" ht="15.75">
      <c r="A110" s="18"/>
      <c r="B110" s="22" t="s">
        <v>7</v>
      </c>
      <c r="C110" s="46">
        <f>SUM(C96:C109)</f>
        <v>860</v>
      </c>
      <c r="D110" s="46">
        <f>SUM(D96:D109)</f>
        <v>943</v>
      </c>
      <c r="E110" s="46">
        <f>SUM(E96:E109)</f>
        <v>939</v>
      </c>
      <c r="F110" s="46">
        <f>SUM(F96:F109)</f>
        <v>844</v>
      </c>
      <c r="G110" s="49"/>
      <c r="H110" s="224">
        <f>F110/E110</f>
        <v>0.898828541001065</v>
      </c>
      <c r="I110" s="63">
        <f>F110-E110</f>
        <v>-95</v>
      </c>
    </row>
    <row r="111" spans="1:9" ht="15.75">
      <c r="A111" s="18"/>
      <c r="B111" s="22"/>
      <c r="C111" s="15"/>
      <c r="D111" s="15"/>
      <c r="E111" s="272" t="s">
        <v>187</v>
      </c>
      <c r="F111" s="15"/>
      <c r="G111" s="20" t="s">
        <v>22</v>
      </c>
      <c r="H111" s="225"/>
      <c r="I111" s="19" t="s">
        <v>2</v>
      </c>
    </row>
    <row r="112" spans="1:9" ht="16.5" thickBot="1">
      <c r="A112" s="18"/>
      <c r="B112" s="22" t="s">
        <v>16</v>
      </c>
      <c r="C112" s="121">
        <v>2021</v>
      </c>
      <c r="D112" s="121">
        <v>2022</v>
      </c>
      <c r="E112" s="272">
        <v>2023</v>
      </c>
      <c r="F112" s="122">
        <v>2023</v>
      </c>
      <c r="G112" s="20" t="s">
        <v>34</v>
      </c>
      <c r="H112" s="226" t="s">
        <v>1</v>
      </c>
      <c r="I112" s="41">
        <v>1</v>
      </c>
    </row>
    <row r="113" spans="1:9" ht="15.75">
      <c r="A113" s="18">
        <v>16</v>
      </c>
      <c r="B113" s="22" t="s">
        <v>92</v>
      </c>
      <c r="C113" s="37">
        <v>37</v>
      </c>
      <c r="D113" s="37">
        <v>37</v>
      </c>
      <c r="E113" s="37">
        <v>37</v>
      </c>
      <c r="F113" s="37">
        <v>30</v>
      </c>
      <c r="G113" s="38">
        <v>45007</v>
      </c>
      <c r="H113" s="222">
        <f aca="true" t="shared" si="12" ref="H113:H122">F113/E113</f>
        <v>0.8108108108108109</v>
      </c>
      <c r="I113" s="34">
        <f aca="true" t="shared" si="13" ref="I113:I122">F113-E113</f>
        <v>-7</v>
      </c>
    </row>
    <row r="114" spans="1:9" ht="15.75">
      <c r="A114" s="18">
        <v>26</v>
      </c>
      <c r="B114" s="67" t="s">
        <v>135</v>
      </c>
      <c r="C114" s="90">
        <v>4</v>
      </c>
      <c r="D114" s="90">
        <f>1+3</f>
        <v>4</v>
      </c>
      <c r="E114" s="90">
        <v>4</v>
      </c>
      <c r="F114" s="90">
        <v>5</v>
      </c>
      <c r="G114" s="91">
        <v>44819</v>
      </c>
      <c r="H114" s="222">
        <f t="shared" si="12"/>
        <v>1.25</v>
      </c>
      <c r="I114" s="34">
        <f t="shared" si="13"/>
        <v>1</v>
      </c>
    </row>
    <row r="115" spans="1:9" ht="15.75">
      <c r="A115" s="322">
        <v>36</v>
      </c>
      <c r="B115" s="67" t="s">
        <v>199</v>
      </c>
      <c r="C115" s="90"/>
      <c r="D115" s="90"/>
      <c r="E115" s="90"/>
      <c r="F115" s="90">
        <v>1</v>
      </c>
      <c r="G115" s="91">
        <v>45093</v>
      </c>
      <c r="H115" s="222"/>
      <c r="I115" s="34"/>
    </row>
    <row r="116" spans="1:9" ht="15.75">
      <c r="A116" s="18">
        <v>61</v>
      </c>
      <c r="B116" s="67" t="s">
        <v>134</v>
      </c>
      <c r="C116" s="31">
        <v>18</v>
      </c>
      <c r="D116" s="31">
        <v>19</v>
      </c>
      <c r="E116" s="31">
        <v>19</v>
      </c>
      <c r="F116" s="31">
        <v>19</v>
      </c>
      <c r="G116" s="32">
        <v>44881</v>
      </c>
      <c r="H116" s="222">
        <f t="shared" si="12"/>
        <v>1</v>
      </c>
      <c r="I116" s="34">
        <f t="shared" si="13"/>
        <v>0</v>
      </c>
    </row>
    <row r="117" spans="1:9" ht="15.75">
      <c r="A117" s="322">
        <v>76</v>
      </c>
      <c r="B117" s="67" t="s">
        <v>196</v>
      </c>
      <c r="C117" s="31"/>
      <c r="D117" s="31"/>
      <c r="E117" s="31"/>
      <c r="F117" s="31">
        <v>1</v>
      </c>
      <c r="G117" s="32">
        <v>44958</v>
      </c>
      <c r="H117" s="222"/>
      <c r="I117" s="34"/>
    </row>
    <row r="118" spans="1:11" ht="15.75">
      <c r="A118" s="18">
        <v>78</v>
      </c>
      <c r="B118" s="22" t="s">
        <v>93</v>
      </c>
      <c r="C118" s="31">
        <v>62</v>
      </c>
      <c r="D118" s="31">
        <v>65</v>
      </c>
      <c r="E118" s="31">
        <v>65</v>
      </c>
      <c r="F118" s="31">
        <v>66</v>
      </c>
      <c r="G118" s="32">
        <v>45007</v>
      </c>
      <c r="H118" s="222">
        <f t="shared" si="12"/>
        <v>1.0153846153846153</v>
      </c>
      <c r="I118" s="34">
        <f t="shared" si="13"/>
        <v>1</v>
      </c>
      <c r="K118" s="232"/>
    </row>
    <row r="119" spans="1:11" ht="15.75">
      <c r="A119" s="18">
        <v>117</v>
      </c>
      <c r="B119" s="67" t="s">
        <v>136</v>
      </c>
      <c r="C119" s="31">
        <v>3</v>
      </c>
      <c r="D119" s="31">
        <v>14</v>
      </c>
      <c r="E119" s="31">
        <v>15</v>
      </c>
      <c r="F119" s="31">
        <v>15</v>
      </c>
      <c r="G119" s="32">
        <v>45043</v>
      </c>
      <c r="H119" s="222">
        <f t="shared" si="12"/>
        <v>1</v>
      </c>
      <c r="I119" s="34">
        <f t="shared" si="13"/>
        <v>0</v>
      </c>
      <c r="K119" s="232"/>
    </row>
    <row r="120" spans="1:11" ht="15.75">
      <c r="A120" s="322">
        <v>327</v>
      </c>
      <c r="B120" s="67" t="s">
        <v>194</v>
      </c>
      <c r="C120" s="92"/>
      <c r="D120" s="92"/>
      <c r="E120" s="92"/>
      <c r="F120" s="92">
        <v>10</v>
      </c>
      <c r="G120" s="320">
        <v>45093</v>
      </c>
      <c r="H120" s="229"/>
      <c r="I120" s="173"/>
      <c r="K120" s="232"/>
    </row>
    <row r="121" spans="1:11" ht="16.5" thickBot="1">
      <c r="A121" s="170">
        <v>368</v>
      </c>
      <c r="B121" s="67" t="s">
        <v>159</v>
      </c>
      <c r="C121" s="35">
        <v>13</v>
      </c>
      <c r="D121" s="35">
        <v>13</v>
      </c>
      <c r="E121" s="35">
        <v>13</v>
      </c>
      <c r="F121" s="35">
        <v>19</v>
      </c>
      <c r="G121" s="97">
        <v>45043</v>
      </c>
      <c r="H121" s="223">
        <f t="shared" si="12"/>
        <v>1.4615384615384615</v>
      </c>
      <c r="I121" s="42">
        <f t="shared" si="13"/>
        <v>6</v>
      </c>
      <c r="K121" s="232"/>
    </row>
    <row r="122" spans="1:9" s="56" customFormat="1" ht="15.75">
      <c r="A122" s="18"/>
      <c r="B122" s="22" t="s">
        <v>7</v>
      </c>
      <c r="C122" s="46">
        <f>SUM(C113:C121)</f>
        <v>137</v>
      </c>
      <c r="D122" s="46">
        <f>SUM(D113:D121)</f>
        <v>152</v>
      </c>
      <c r="E122" s="46">
        <f>SUM(E113:E121)</f>
        <v>153</v>
      </c>
      <c r="F122" s="46">
        <f>SUM(F113:F121)</f>
        <v>166</v>
      </c>
      <c r="G122" s="49"/>
      <c r="H122" s="224">
        <f t="shared" si="12"/>
        <v>1.0849673202614378</v>
      </c>
      <c r="I122" s="63">
        <f t="shared" si="13"/>
        <v>13</v>
      </c>
    </row>
    <row r="123" spans="1:9" ht="15.75">
      <c r="A123" s="18"/>
      <c r="B123" s="22"/>
      <c r="C123" s="15"/>
      <c r="D123" s="15"/>
      <c r="E123" s="272" t="s">
        <v>187</v>
      </c>
      <c r="F123" s="15"/>
      <c r="G123" s="20" t="s">
        <v>22</v>
      </c>
      <c r="H123" s="225"/>
      <c r="I123" s="19" t="s">
        <v>2</v>
      </c>
    </row>
    <row r="124" spans="1:9" ht="16.5" thickBot="1">
      <c r="A124" s="18"/>
      <c r="B124" s="22" t="s">
        <v>17</v>
      </c>
      <c r="C124" s="121">
        <v>2021</v>
      </c>
      <c r="D124" s="121">
        <v>2022</v>
      </c>
      <c r="E124" s="272">
        <v>2023</v>
      </c>
      <c r="F124" s="122">
        <v>2023</v>
      </c>
      <c r="G124" s="20" t="s">
        <v>34</v>
      </c>
      <c r="H124" s="226" t="s">
        <v>1</v>
      </c>
      <c r="I124" s="41">
        <v>1</v>
      </c>
    </row>
    <row r="125" spans="1:9" ht="15.75">
      <c r="A125" s="18">
        <v>3</v>
      </c>
      <c r="B125" s="22" t="s">
        <v>94</v>
      </c>
      <c r="C125" s="50">
        <v>35</v>
      </c>
      <c r="D125" s="50">
        <v>66</v>
      </c>
      <c r="E125" s="50">
        <v>66</v>
      </c>
      <c r="F125" s="50">
        <v>61</v>
      </c>
      <c r="G125" s="99">
        <v>45120</v>
      </c>
      <c r="H125" s="222">
        <f>F125/E125</f>
        <v>0.9242424242424242</v>
      </c>
      <c r="I125" s="34">
        <f>F125-E125</f>
        <v>-5</v>
      </c>
    </row>
    <row r="126" spans="1:9" ht="15.75">
      <c r="A126" s="18">
        <v>4</v>
      </c>
      <c r="B126" s="22" t="s">
        <v>95</v>
      </c>
      <c r="C126" s="23">
        <v>61</v>
      </c>
      <c r="D126" s="23">
        <v>67</v>
      </c>
      <c r="E126" s="23">
        <v>67</v>
      </c>
      <c r="F126" s="23">
        <v>80</v>
      </c>
      <c r="G126" s="45">
        <v>45007</v>
      </c>
      <c r="H126" s="222">
        <f aca="true" t="shared" si="14" ref="H126:H132">F126/E126</f>
        <v>1.1940298507462686</v>
      </c>
      <c r="I126" s="34">
        <f aca="true" t="shared" si="15" ref="I126:I132">F126-E126</f>
        <v>13</v>
      </c>
    </row>
    <row r="127" spans="1:9" ht="15.75">
      <c r="A127" s="18">
        <v>6</v>
      </c>
      <c r="B127" s="67" t="s">
        <v>96</v>
      </c>
      <c r="C127" s="23">
        <v>21</v>
      </c>
      <c r="D127" s="23">
        <v>28</v>
      </c>
      <c r="E127" s="23">
        <v>28</v>
      </c>
      <c r="F127" s="23">
        <v>28</v>
      </c>
      <c r="G127" s="45">
        <v>45043</v>
      </c>
      <c r="H127" s="222">
        <f t="shared" si="14"/>
        <v>1</v>
      </c>
      <c r="I127" s="34">
        <f t="shared" si="15"/>
        <v>0</v>
      </c>
    </row>
    <row r="128" spans="1:11" ht="15.75">
      <c r="A128" s="18">
        <v>113</v>
      </c>
      <c r="B128" s="22" t="s">
        <v>97</v>
      </c>
      <c r="C128" s="23">
        <v>68</v>
      </c>
      <c r="D128" s="23">
        <v>65</v>
      </c>
      <c r="E128" s="23">
        <v>64</v>
      </c>
      <c r="F128" s="23">
        <v>70</v>
      </c>
      <c r="G128" s="80">
        <v>45134</v>
      </c>
      <c r="H128" s="222">
        <f t="shared" si="14"/>
        <v>1.09375</v>
      </c>
      <c r="I128" s="34">
        <f t="shared" si="15"/>
        <v>6</v>
      </c>
      <c r="K128" s="232"/>
    </row>
    <row r="129" spans="1:11" ht="15.75">
      <c r="A129" s="18">
        <v>122</v>
      </c>
      <c r="B129" s="22" t="s">
        <v>124</v>
      </c>
      <c r="C129" s="23">
        <v>12</v>
      </c>
      <c r="D129" s="23">
        <v>16</v>
      </c>
      <c r="E129" s="23">
        <v>16</v>
      </c>
      <c r="F129" s="23">
        <v>7</v>
      </c>
      <c r="G129" s="24">
        <v>44914</v>
      </c>
      <c r="H129" s="222">
        <f t="shared" si="14"/>
        <v>0.4375</v>
      </c>
      <c r="I129" s="34">
        <f t="shared" si="15"/>
        <v>-9</v>
      </c>
      <c r="K129" s="232"/>
    </row>
    <row r="130" spans="1:255" ht="15.75">
      <c r="A130" s="18">
        <v>194</v>
      </c>
      <c r="B130" s="22" t="s">
        <v>98</v>
      </c>
      <c r="C130" s="70">
        <v>40</v>
      </c>
      <c r="D130" s="70">
        <v>40</v>
      </c>
      <c r="E130" s="70">
        <v>40</v>
      </c>
      <c r="F130" s="70">
        <v>30</v>
      </c>
      <c r="G130" s="24">
        <v>45022</v>
      </c>
      <c r="H130" s="222">
        <f t="shared" si="14"/>
        <v>0.75</v>
      </c>
      <c r="I130" s="34">
        <f t="shared" si="15"/>
        <v>-10</v>
      </c>
      <c r="K130" s="232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</row>
    <row r="131" spans="1:11" ht="15.75">
      <c r="A131" s="18">
        <v>227</v>
      </c>
      <c r="B131" s="22" t="s">
        <v>100</v>
      </c>
      <c r="C131" s="23">
        <v>81</v>
      </c>
      <c r="D131" s="23">
        <v>82</v>
      </c>
      <c r="E131" s="23">
        <v>83</v>
      </c>
      <c r="F131" s="23">
        <v>85</v>
      </c>
      <c r="G131" s="45">
        <v>45106</v>
      </c>
      <c r="H131" s="222">
        <f t="shared" si="14"/>
        <v>1.0240963855421688</v>
      </c>
      <c r="I131" s="34">
        <f t="shared" si="15"/>
        <v>2</v>
      </c>
      <c r="K131" s="232"/>
    </row>
    <row r="132" spans="1:11" ht="16.5" thickBot="1">
      <c r="A132" s="18">
        <v>331</v>
      </c>
      <c r="B132" s="22" t="s">
        <v>101</v>
      </c>
      <c r="C132" s="52">
        <v>29</v>
      </c>
      <c r="D132" s="52">
        <v>26</v>
      </c>
      <c r="E132" s="52">
        <v>26</v>
      </c>
      <c r="F132" s="52">
        <v>30</v>
      </c>
      <c r="G132" s="182">
        <v>45028</v>
      </c>
      <c r="H132" s="223">
        <f t="shared" si="14"/>
        <v>1.1538461538461537</v>
      </c>
      <c r="I132" s="42">
        <f t="shared" si="15"/>
        <v>4</v>
      </c>
      <c r="K132" s="232"/>
    </row>
    <row r="133" spans="1:9" s="56" customFormat="1" ht="15.75">
      <c r="A133" s="18"/>
      <c r="B133" s="137" t="s">
        <v>7</v>
      </c>
      <c r="C133" s="318">
        <f>SUM(C125:C132)</f>
        <v>347</v>
      </c>
      <c r="D133" s="318">
        <f>SUM(D125:D132)</f>
        <v>390</v>
      </c>
      <c r="E133" s="318">
        <f>SUM(E125:E132)</f>
        <v>390</v>
      </c>
      <c r="F133" s="318">
        <f>SUM(F125:F132)</f>
        <v>391</v>
      </c>
      <c r="G133" s="319"/>
      <c r="H133" s="224">
        <f>F133/E133</f>
        <v>1.0025641025641026</v>
      </c>
      <c r="I133" s="63">
        <f>F133-E133</f>
        <v>1</v>
      </c>
    </row>
    <row r="134" spans="1:9" ht="15.75">
      <c r="A134" s="18"/>
      <c r="B134" s="19"/>
      <c r="C134" s="15"/>
      <c r="D134" s="15"/>
      <c r="E134" s="272" t="s">
        <v>187</v>
      </c>
      <c r="F134" s="15"/>
      <c r="G134" s="20" t="s">
        <v>22</v>
      </c>
      <c r="H134" s="225"/>
      <c r="I134" s="19" t="s">
        <v>2</v>
      </c>
    </row>
    <row r="135" spans="1:9" ht="16.5" thickBot="1">
      <c r="A135" s="18"/>
      <c r="B135" s="22" t="s">
        <v>18</v>
      </c>
      <c r="C135" s="121">
        <v>2021</v>
      </c>
      <c r="D135" s="121">
        <v>2022</v>
      </c>
      <c r="E135" s="272">
        <v>2023</v>
      </c>
      <c r="F135" s="122">
        <v>2023</v>
      </c>
      <c r="G135" s="20" t="s">
        <v>34</v>
      </c>
      <c r="H135" s="230" t="s">
        <v>1</v>
      </c>
      <c r="I135" s="48">
        <v>1</v>
      </c>
    </row>
    <row r="136" spans="1:9" ht="15.75">
      <c r="A136" s="18">
        <v>1</v>
      </c>
      <c r="B136" s="67" t="s">
        <v>151</v>
      </c>
      <c r="C136" s="138">
        <v>5</v>
      </c>
      <c r="D136" s="138">
        <v>5</v>
      </c>
      <c r="E136" s="138">
        <v>5</v>
      </c>
      <c r="F136" s="138">
        <v>11</v>
      </c>
      <c r="G136" s="83">
        <v>45043</v>
      </c>
      <c r="H136" s="221">
        <f>F136/E136</f>
        <v>2.2</v>
      </c>
      <c r="I136" s="140">
        <f>F136-E136</f>
        <v>6</v>
      </c>
    </row>
    <row r="137" spans="1:9" ht="15.75">
      <c r="A137" s="18">
        <v>121</v>
      </c>
      <c r="B137" s="22" t="s">
        <v>102</v>
      </c>
      <c r="C137" s="90">
        <v>23</v>
      </c>
      <c r="D137" s="90">
        <v>44</v>
      </c>
      <c r="E137" s="90">
        <v>44</v>
      </c>
      <c r="F137" s="90">
        <v>30</v>
      </c>
      <c r="G137" s="91">
        <v>45106</v>
      </c>
      <c r="H137" s="222">
        <f aca="true" t="shared" si="16" ref="H137:H145">F137/E137</f>
        <v>0.6818181818181818</v>
      </c>
      <c r="I137" s="158">
        <f aca="true" t="shared" si="17" ref="I137:I145">F137-E137</f>
        <v>-14</v>
      </c>
    </row>
    <row r="138" spans="1:9" ht="15.75" hidden="1">
      <c r="A138" s="18">
        <v>166</v>
      </c>
      <c r="B138" s="67" t="s">
        <v>189</v>
      </c>
      <c r="C138" s="159"/>
      <c r="D138" s="159">
        <v>7</v>
      </c>
      <c r="E138" s="159">
        <v>7</v>
      </c>
      <c r="F138" s="31"/>
      <c r="G138" s="32"/>
      <c r="H138" s="222">
        <f t="shared" si="16"/>
        <v>0</v>
      </c>
      <c r="I138" s="158">
        <f t="shared" si="17"/>
        <v>-7</v>
      </c>
    </row>
    <row r="139" spans="1:9" ht="15.75">
      <c r="A139" s="18">
        <v>222</v>
      </c>
      <c r="B139" s="22" t="s">
        <v>103</v>
      </c>
      <c r="C139" s="100">
        <v>11</v>
      </c>
      <c r="D139" s="100">
        <v>12</v>
      </c>
      <c r="E139" s="100">
        <v>12</v>
      </c>
      <c r="F139" s="100">
        <v>11</v>
      </c>
      <c r="G139" s="279">
        <v>45028</v>
      </c>
      <c r="H139" s="222">
        <f t="shared" si="16"/>
        <v>0.9166666666666666</v>
      </c>
      <c r="I139" s="158">
        <f t="shared" si="17"/>
        <v>-1</v>
      </c>
    </row>
    <row r="140" spans="1:11" ht="15.75">
      <c r="A140" s="18">
        <v>228</v>
      </c>
      <c r="B140" s="67" t="s">
        <v>130</v>
      </c>
      <c r="C140" s="31">
        <v>35</v>
      </c>
      <c r="D140" s="31">
        <v>37</v>
      </c>
      <c r="E140" s="31">
        <v>35</v>
      </c>
      <c r="F140" s="31">
        <v>29</v>
      </c>
      <c r="G140" s="79">
        <v>44937</v>
      </c>
      <c r="H140" s="222">
        <f t="shared" si="16"/>
        <v>0.8285714285714286</v>
      </c>
      <c r="I140" s="158">
        <f t="shared" si="17"/>
        <v>-6</v>
      </c>
      <c r="K140" s="232"/>
    </row>
    <row r="141" spans="1:11" ht="15.75">
      <c r="A141" s="18">
        <v>302</v>
      </c>
      <c r="B141" s="22" t="s">
        <v>104</v>
      </c>
      <c r="C141" s="100">
        <v>39</v>
      </c>
      <c r="D141" s="100">
        <v>45</v>
      </c>
      <c r="E141" s="100">
        <v>45</v>
      </c>
      <c r="F141" s="100">
        <v>40</v>
      </c>
      <c r="G141" s="24">
        <v>45106</v>
      </c>
      <c r="H141" s="222">
        <f t="shared" si="16"/>
        <v>0.8888888888888888</v>
      </c>
      <c r="I141" s="158">
        <f t="shared" si="17"/>
        <v>-5</v>
      </c>
      <c r="K141" s="232"/>
    </row>
    <row r="142" spans="1:11" ht="15.75">
      <c r="A142" s="18">
        <v>303</v>
      </c>
      <c r="B142" s="22" t="s">
        <v>30</v>
      </c>
      <c r="C142" s="100">
        <v>21</v>
      </c>
      <c r="D142" s="100">
        <v>14</v>
      </c>
      <c r="E142" s="100">
        <v>14</v>
      </c>
      <c r="F142" s="100">
        <v>8</v>
      </c>
      <c r="G142" s="24">
        <v>44987</v>
      </c>
      <c r="H142" s="222">
        <f t="shared" si="16"/>
        <v>0.5714285714285714</v>
      </c>
      <c r="I142" s="158">
        <f t="shared" si="17"/>
        <v>-6</v>
      </c>
      <c r="K142" s="232"/>
    </row>
    <row r="143" spans="1:11" ht="15.75">
      <c r="A143" s="18">
        <v>311</v>
      </c>
      <c r="B143" s="22" t="s">
        <v>105</v>
      </c>
      <c r="C143" s="117">
        <v>30</v>
      </c>
      <c r="D143" s="117">
        <v>31</v>
      </c>
      <c r="E143" s="117">
        <v>31</v>
      </c>
      <c r="F143" s="117">
        <v>26</v>
      </c>
      <c r="G143" s="24">
        <v>44986</v>
      </c>
      <c r="H143" s="222">
        <f t="shared" si="16"/>
        <v>0.8387096774193549</v>
      </c>
      <c r="I143" s="158">
        <f t="shared" si="17"/>
        <v>-5</v>
      </c>
      <c r="K143" s="232"/>
    </row>
    <row r="144" spans="1:11" ht="15.75">
      <c r="A144" s="18">
        <v>312</v>
      </c>
      <c r="B144" s="22" t="s">
        <v>106</v>
      </c>
      <c r="C144" s="101">
        <v>32</v>
      </c>
      <c r="D144" s="101">
        <v>29</v>
      </c>
      <c r="E144" s="101">
        <v>29</v>
      </c>
      <c r="F144" s="101">
        <v>34</v>
      </c>
      <c r="G144" s="24">
        <v>45001</v>
      </c>
      <c r="H144" s="222">
        <f t="shared" si="16"/>
        <v>1.1724137931034482</v>
      </c>
      <c r="I144" s="158">
        <f t="shared" si="17"/>
        <v>5</v>
      </c>
      <c r="K144" s="232"/>
    </row>
    <row r="145" spans="1:11" ht="16.5" thickBot="1">
      <c r="A145" s="18">
        <v>405</v>
      </c>
      <c r="B145" s="22" t="s">
        <v>122</v>
      </c>
      <c r="C145" s="52">
        <v>24</v>
      </c>
      <c r="D145" s="52">
        <v>31</v>
      </c>
      <c r="E145" s="52">
        <v>31</v>
      </c>
      <c r="F145" s="52">
        <v>48</v>
      </c>
      <c r="G145" s="53">
        <v>45028</v>
      </c>
      <c r="H145" s="223">
        <f t="shared" si="16"/>
        <v>1.5483870967741935</v>
      </c>
      <c r="I145" s="315">
        <f t="shared" si="17"/>
        <v>17</v>
      </c>
      <c r="K145" s="232"/>
    </row>
    <row r="146" spans="1:9" s="56" customFormat="1" ht="15.75">
      <c r="A146" s="18"/>
      <c r="B146" s="22" t="s">
        <v>7</v>
      </c>
      <c r="C146" s="46">
        <f>SUM(C136:C145)</f>
        <v>220</v>
      </c>
      <c r="D146" s="46">
        <f>SUM(D136:D145)</f>
        <v>255</v>
      </c>
      <c r="E146" s="46">
        <f>SUM(E136:E145)</f>
        <v>253</v>
      </c>
      <c r="F146" s="46">
        <f>SUM(F136:F145)</f>
        <v>237</v>
      </c>
      <c r="G146" s="49"/>
      <c r="H146" s="224">
        <f>F146/E146</f>
        <v>0.9367588932806324</v>
      </c>
      <c r="I146" s="63">
        <f>F146-E146</f>
        <v>-16</v>
      </c>
    </row>
    <row r="147" spans="1:9" ht="15.75">
      <c r="A147" s="18"/>
      <c r="B147" s="22"/>
      <c r="C147" s="15"/>
      <c r="D147" s="15"/>
      <c r="E147" s="272" t="s">
        <v>187</v>
      </c>
      <c r="F147" s="15"/>
      <c r="G147" s="20" t="s">
        <v>22</v>
      </c>
      <c r="H147" s="225"/>
      <c r="I147" s="19" t="s">
        <v>2</v>
      </c>
    </row>
    <row r="148" spans="1:9" ht="16.5" thickBot="1">
      <c r="A148" s="18"/>
      <c r="B148" s="22" t="s">
        <v>19</v>
      </c>
      <c r="C148" s="121">
        <v>2021</v>
      </c>
      <c r="D148" s="121">
        <v>2022</v>
      </c>
      <c r="E148" s="275">
        <v>2023</v>
      </c>
      <c r="F148" s="122">
        <v>2023</v>
      </c>
      <c r="G148" s="44" t="s">
        <v>34</v>
      </c>
      <c r="H148" s="226" t="s">
        <v>1</v>
      </c>
      <c r="I148" s="41">
        <v>1</v>
      </c>
    </row>
    <row r="149" spans="1:9" ht="15.75">
      <c r="A149" s="18">
        <v>22</v>
      </c>
      <c r="B149" s="22" t="s">
        <v>108</v>
      </c>
      <c r="C149" s="68">
        <v>77</v>
      </c>
      <c r="D149" s="68">
        <v>76</v>
      </c>
      <c r="E149" s="271">
        <v>75</v>
      </c>
      <c r="F149" s="105">
        <v>68</v>
      </c>
      <c r="G149" s="58">
        <v>45007</v>
      </c>
      <c r="H149" s="222">
        <f>F149/E149</f>
        <v>0.9066666666666666</v>
      </c>
      <c r="I149" s="34">
        <f>F149-E149</f>
        <v>-7</v>
      </c>
    </row>
    <row r="150" spans="1:9" ht="15.75">
      <c r="A150" s="322">
        <v>35</v>
      </c>
      <c r="B150" s="67" t="s">
        <v>195</v>
      </c>
      <c r="C150" s="105"/>
      <c r="D150" s="105"/>
      <c r="E150" s="105"/>
      <c r="F150" s="105"/>
      <c r="G150" s="321"/>
      <c r="H150" s="222"/>
      <c r="I150" s="34"/>
    </row>
    <row r="151" spans="1:255" ht="15.75">
      <c r="A151" s="18">
        <v>40</v>
      </c>
      <c r="B151" s="22" t="s">
        <v>109</v>
      </c>
      <c r="C151" s="105">
        <v>225</v>
      </c>
      <c r="D151" s="105">
        <v>274</v>
      </c>
      <c r="E151" s="105">
        <v>258</v>
      </c>
      <c r="F151" s="105">
        <v>283</v>
      </c>
      <c r="G151" s="80">
        <v>45061</v>
      </c>
      <c r="H151" s="222">
        <f aca="true" t="shared" si="18" ref="H151:H164">F151/E151</f>
        <v>1.0968992248062015</v>
      </c>
      <c r="I151" s="34">
        <f aca="true" t="shared" si="19" ref="I151:I164">F151-E151</f>
        <v>25</v>
      </c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3"/>
      <c r="DQ151" s="43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</row>
    <row r="152" spans="1:9" ht="15.75">
      <c r="A152" s="18">
        <v>64</v>
      </c>
      <c r="B152" s="22" t="s">
        <v>110</v>
      </c>
      <c r="C152" s="110">
        <v>31</v>
      </c>
      <c r="D152" s="110">
        <v>27</v>
      </c>
      <c r="E152" s="110">
        <v>27</v>
      </c>
      <c r="F152" s="110">
        <v>27</v>
      </c>
      <c r="G152" s="24">
        <v>44881</v>
      </c>
      <c r="H152" s="222">
        <f t="shared" si="18"/>
        <v>1</v>
      </c>
      <c r="I152" s="34">
        <f t="shared" si="19"/>
        <v>0</v>
      </c>
    </row>
    <row r="153" spans="1:11" ht="15.75">
      <c r="A153" s="18">
        <v>82</v>
      </c>
      <c r="B153" s="22" t="s">
        <v>31</v>
      </c>
      <c r="C153" s="105">
        <v>45</v>
      </c>
      <c r="D153" s="105">
        <v>57</v>
      </c>
      <c r="E153" s="105">
        <v>57</v>
      </c>
      <c r="F153" s="105">
        <v>65</v>
      </c>
      <c r="G153" s="24">
        <v>45022</v>
      </c>
      <c r="H153" s="222">
        <f t="shared" si="18"/>
        <v>1.1403508771929824</v>
      </c>
      <c r="I153" s="34">
        <f t="shared" si="19"/>
        <v>8</v>
      </c>
      <c r="K153" s="232"/>
    </row>
    <row r="154" spans="1:11" ht="15.75">
      <c r="A154" s="18">
        <v>88</v>
      </c>
      <c r="B154" s="22" t="s">
        <v>111</v>
      </c>
      <c r="C154" s="105">
        <v>12</v>
      </c>
      <c r="D154" s="105">
        <v>12</v>
      </c>
      <c r="E154" s="105">
        <v>12</v>
      </c>
      <c r="F154" s="105">
        <v>11</v>
      </c>
      <c r="G154" s="45">
        <v>44810</v>
      </c>
      <c r="H154" s="222">
        <f t="shared" si="18"/>
        <v>0.9166666666666666</v>
      </c>
      <c r="I154" s="34">
        <f t="shared" si="19"/>
        <v>-1</v>
      </c>
      <c r="K154" s="232"/>
    </row>
    <row r="155" spans="1:11" ht="15.75">
      <c r="A155" s="18">
        <v>112</v>
      </c>
      <c r="B155" s="22" t="s">
        <v>112</v>
      </c>
      <c r="C155" s="105">
        <v>31</v>
      </c>
      <c r="D155" s="105">
        <v>29</v>
      </c>
      <c r="E155" s="105">
        <v>27</v>
      </c>
      <c r="F155" s="105">
        <v>28</v>
      </c>
      <c r="G155" s="24">
        <v>45078</v>
      </c>
      <c r="H155" s="222">
        <f t="shared" si="18"/>
        <v>1.037037037037037</v>
      </c>
      <c r="I155" s="34">
        <f t="shared" si="19"/>
        <v>1</v>
      </c>
      <c r="K155" s="232"/>
    </row>
    <row r="156" spans="1:11" ht="15.75">
      <c r="A156" s="322">
        <v>140</v>
      </c>
      <c r="B156" s="280" t="s">
        <v>192</v>
      </c>
      <c r="C156" s="105"/>
      <c r="D156" s="105"/>
      <c r="E156" s="105"/>
      <c r="F156" s="105">
        <v>4</v>
      </c>
      <c r="G156" s="80" t="s">
        <v>198</v>
      </c>
      <c r="H156" s="222" t="e">
        <f t="shared" si="18"/>
        <v>#DIV/0!</v>
      </c>
      <c r="I156" s="34"/>
      <c r="K156" s="232"/>
    </row>
    <row r="157" spans="1:11" ht="15.75">
      <c r="A157" s="170">
        <v>144</v>
      </c>
      <c r="B157" s="280" t="s">
        <v>149</v>
      </c>
      <c r="C157" s="105">
        <v>10</v>
      </c>
      <c r="D157" s="105">
        <v>9</v>
      </c>
      <c r="E157" s="105">
        <v>9</v>
      </c>
      <c r="F157" s="105">
        <v>9</v>
      </c>
      <c r="G157" s="24">
        <v>44826</v>
      </c>
      <c r="H157" s="222">
        <f t="shared" si="18"/>
        <v>1</v>
      </c>
      <c r="I157" s="34">
        <f t="shared" si="19"/>
        <v>0</v>
      </c>
      <c r="K157" s="232"/>
    </row>
    <row r="158" spans="1:11" ht="15.75">
      <c r="A158" s="322">
        <v>147</v>
      </c>
      <c r="B158" s="280" t="s">
        <v>193</v>
      </c>
      <c r="C158" s="105"/>
      <c r="D158" s="105"/>
      <c r="E158" s="105"/>
      <c r="F158" s="105">
        <v>4</v>
      </c>
      <c r="G158" s="24">
        <v>45106</v>
      </c>
      <c r="H158" s="222" t="e">
        <f t="shared" si="18"/>
        <v>#DIV/0!</v>
      </c>
      <c r="I158" s="34"/>
      <c r="K158" s="232"/>
    </row>
    <row r="159" spans="1:11" ht="15.75">
      <c r="A159" s="18">
        <v>149</v>
      </c>
      <c r="B159" s="22" t="s">
        <v>32</v>
      </c>
      <c r="C159" s="105">
        <v>43</v>
      </c>
      <c r="D159" s="105">
        <v>42</v>
      </c>
      <c r="E159" s="105">
        <v>42</v>
      </c>
      <c r="F159" s="105">
        <v>37</v>
      </c>
      <c r="G159" s="24">
        <v>45093</v>
      </c>
      <c r="H159" s="222">
        <f t="shared" si="18"/>
        <v>0.8809523809523809</v>
      </c>
      <c r="I159" s="34">
        <f t="shared" si="19"/>
        <v>-5</v>
      </c>
      <c r="K159" s="232"/>
    </row>
    <row r="160" spans="1:11" ht="15.75">
      <c r="A160" s="18">
        <v>188</v>
      </c>
      <c r="B160" s="22" t="s">
        <v>113</v>
      </c>
      <c r="C160" s="105">
        <v>100</v>
      </c>
      <c r="D160" s="105">
        <v>126</v>
      </c>
      <c r="E160" s="105">
        <v>126</v>
      </c>
      <c r="F160" s="105">
        <v>117</v>
      </c>
      <c r="G160" s="24">
        <v>45106</v>
      </c>
      <c r="H160" s="222">
        <f t="shared" si="18"/>
        <v>0.9285714285714286</v>
      </c>
      <c r="I160" s="34">
        <f t="shared" si="19"/>
        <v>-9</v>
      </c>
      <c r="K160" s="232"/>
    </row>
    <row r="161" spans="1:11" ht="15.75">
      <c r="A161" s="322">
        <v>192</v>
      </c>
      <c r="B161" s="67" t="s">
        <v>114</v>
      </c>
      <c r="C161" s="105">
        <v>2</v>
      </c>
      <c r="D161" s="105">
        <v>2</v>
      </c>
      <c r="E161" s="105">
        <v>0</v>
      </c>
      <c r="F161" s="105">
        <v>5</v>
      </c>
      <c r="G161" s="24">
        <v>44986</v>
      </c>
      <c r="H161" s="222" t="e">
        <f t="shared" si="18"/>
        <v>#DIV/0!</v>
      </c>
      <c r="I161" s="34"/>
      <c r="K161" s="232"/>
    </row>
    <row r="162" spans="1:11" ht="15.75">
      <c r="A162" s="18">
        <v>220</v>
      </c>
      <c r="B162" s="22" t="s">
        <v>115</v>
      </c>
      <c r="C162" s="105">
        <v>7</v>
      </c>
      <c r="D162" s="105">
        <v>7</v>
      </c>
      <c r="E162" s="105">
        <v>7</v>
      </c>
      <c r="F162" s="105">
        <v>7</v>
      </c>
      <c r="G162" s="24">
        <v>44825</v>
      </c>
      <c r="H162" s="222">
        <f t="shared" si="18"/>
        <v>1</v>
      </c>
      <c r="I162" s="34">
        <f t="shared" si="19"/>
        <v>0</v>
      </c>
      <c r="K162" s="232"/>
    </row>
    <row r="163" spans="1:11" ht="15.75">
      <c r="A163" s="18">
        <v>226</v>
      </c>
      <c r="B163" s="22" t="s">
        <v>116</v>
      </c>
      <c r="C163" s="105">
        <v>12</v>
      </c>
      <c r="D163" s="105">
        <f>7</f>
        <v>7</v>
      </c>
      <c r="E163" s="105">
        <v>7</v>
      </c>
      <c r="F163" s="105">
        <v>13</v>
      </c>
      <c r="G163" s="24">
        <v>45007</v>
      </c>
      <c r="H163" s="222">
        <f t="shared" si="18"/>
        <v>1.8571428571428572</v>
      </c>
      <c r="I163" s="34">
        <f t="shared" si="19"/>
        <v>6</v>
      </c>
      <c r="K163" s="232"/>
    </row>
    <row r="164" spans="1:11" ht="16.5" thickBot="1">
      <c r="A164" s="18">
        <v>257</v>
      </c>
      <c r="B164" s="22" t="s">
        <v>117</v>
      </c>
      <c r="C164" s="277">
        <v>11</v>
      </c>
      <c r="D164" s="277">
        <v>11</v>
      </c>
      <c r="E164" s="277">
        <v>11</v>
      </c>
      <c r="F164" s="277">
        <v>11</v>
      </c>
      <c r="G164" s="278">
        <v>44994</v>
      </c>
      <c r="H164" s="223">
        <f t="shared" si="18"/>
        <v>1</v>
      </c>
      <c r="I164" s="42">
        <f t="shared" si="19"/>
        <v>0</v>
      </c>
      <c r="K164" s="232"/>
    </row>
    <row r="165" spans="1:9" s="56" customFormat="1" ht="15.75">
      <c r="A165" s="18" t="s">
        <v>0</v>
      </c>
      <c r="B165" s="22" t="s">
        <v>7</v>
      </c>
      <c r="C165" s="46">
        <f>SUM(C149:C164)</f>
        <v>606</v>
      </c>
      <c r="D165" s="46">
        <f>SUM(D149:D164)</f>
        <v>679</v>
      </c>
      <c r="E165" s="46">
        <f>SUM(E149:E164)</f>
        <v>658</v>
      </c>
      <c r="F165" s="46">
        <f>SUM(F149:F164)</f>
        <v>689</v>
      </c>
      <c r="G165" s="49"/>
      <c r="H165" s="224">
        <f>F165/E165</f>
        <v>1.047112462006079</v>
      </c>
      <c r="I165" s="63">
        <f>F165-E165</f>
        <v>31</v>
      </c>
    </row>
    <row r="166" spans="1:9" ht="16.5" thickBot="1">
      <c r="A166" s="63"/>
      <c r="B166" s="137"/>
      <c r="C166" s="19"/>
      <c r="D166" s="19"/>
      <c r="E166" s="19"/>
      <c r="F166" s="19"/>
      <c r="G166" s="20" t="s">
        <v>0</v>
      </c>
      <c r="H166" s="231"/>
      <c r="I166" s="13" t="s">
        <v>0</v>
      </c>
    </row>
    <row r="167" spans="1:9" ht="16.5" thickTop="1">
      <c r="A167" s="63"/>
      <c r="B167" s="282" t="s">
        <v>183</v>
      </c>
      <c r="C167" s="283"/>
      <c r="D167" s="283"/>
      <c r="E167" s="283"/>
      <c r="F167" s="283"/>
      <c r="G167" s="284"/>
      <c r="H167" s="285"/>
      <c r="I167" s="310"/>
    </row>
    <row r="168" spans="1:9" ht="15.75">
      <c r="A168" s="63"/>
      <c r="B168" s="286"/>
      <c r="C168" s="31"/>
      <c r="D168" s="31"/>
      <c r="E168" s="307" t="s">
        <v>187</v>
      </c>
      <c r="F168" s="31"/>
      <c r="G168" s="240"/>
      <c r="H168" s="287"/>
      <c r="I168" s="312" t="s">
        <v>190</v>
      </c>
    </row>
    <row r="169" spans="1:12" ht="15.75">
      <c r="A169" s="63"/>
      <c r="B169" s="288" t="s">
        <v>33</v>
      </c>
      <c r="C169" s="243">
        <v>2021</v>
      </c>
      <c r="D169" s="243">
        <v>2022</v>
      </c>
      <c r="E169" s="308">
        <v>2023</v>
      </c>
      <c r="F169" s="243">
        <v>2023</v>
      </c>
      <c r="G169" s="244" t="s">
        <v>1</v>
      </c>
      <c r="H169" s="289">
        <v>1</v>
      </c>
      <c r="I169" s="312" t="s">
        <v>191</v>
      </c>
      <c r="J169" s="264"/>
      <c r="K169" s="264"/>
      <c r="L169" s="264"/>
    </row>
    <row r="170" spans="1:9" ht="15.75">
      <c r="A170" s="63"/>
      <c r="B170" s="288">
        <v>1</v>
      </c>
      <c r="C170" s="31">
        <f>SUM(C11)</f>
        <v>180</v>
      </c>
      <c r="D170" s="31">
        <f>SUM(D11)</f>
        <v>193</v>
      </c>
      <c r="E170" s="309">
        <f>E11</f>
        <v>192</v>
      </c>
      <c r="F170" s="31">
        <f>SUM(F11)</f>
        <v>206</v>
      </c>
      <c r="G170" s="246">
        <f>F170/E170</f>
        <v>1.0729166666666667</v>
      </c>
      <c r="H170" s="290">
        <f>F170-E170</f>
        <v>14</v>
      </c>
      <c r="I170" s="313">
        <v>20</v>
      </c>
    </row>
    <row r="171" spans="1:9" ht="15.75">
      <c r="A171" s="63"/>
      <c r="B171" s="288">
        <v>2</v>
      </c>
      <c r="C171" s="31">
        <f>SUM(C23)</f>
        <v>257</v>
      </c>
      <c r="D171" s="31">
        <f>SUM(D23)</f>
        <v>262</v>
      </c>
      <c r="E171" s="309">
        <f>E23</f>
        <v>261</v>
      </c>
      <c r="F171" s="31">
        <f>SUM(F23)</f>
        <v>230</v>
      </c>
      <c r="G171" s="246">
        <f aca="true" t="shared" si="20" ref="G171:G179">F171/E171</f>
        <v>0.8812260536398467</v>
      </c>
      <c r="H171" s="290">
        <f aca="true" t="shared" si="21" ref="H171:H179">F171-E171</f>
        <v>-31</v>
      </c>
      <c r="I171" s="313">
        <v>14</v>
      </c>
    </row>
    <row r="172" spans="1:9" ht="15.75">
      <c r="A172" s="63"/>
      <c r="B172" s="288">
        <v>3</v>
      </c>
      <c r="C172" s="31">
        <f>SUM(C37)</f>
        <v>310</v>
      </c>
      <c r="D172" s="31">
        <f>SUM(D37)</f>
        <v>366</v>
      </c>
      <c r="E172" s="309">
        <f>E37</f>
        <v>368</v>
      </c>
      <c r="F172" s="31">
        <f>SUM(F37)</f>
        <v>373</v>
      </c>
      <c r="G172" s="246">
        <f t="shared" si="20"/>
        <v>1.013586956521739</v>
      </c>
      <c r="H172" s="290">
        <f t="shared" si="21"/>
        <v>5</v>
      </c>
      <c r="I172" s="313">
        <v>71</v>
      </c>
    </row>
    <row r="173" spans="1:12" ht="15.75">
      <c r="A173" s="63"/>
      <c r="B173" s="288">
        <v>4</v>
      </c>
      <c r="C173" s="31">
        <f>SUM(C65)</f>
        <v>920</v>
      </c>
      <c r="D173" s="31">
        <f>SUM(D65)</f>
        <v>999</v>
      </c>
      <c r="E173" s="309">
        <f>E65</f>
        <v>990</v>
      </c>
      <c r="F173" s="31">
        <f>SUM(F65)</f>
        <v>917</v>
      </c>
      <c r="G173" s="246">
        <f t="shared" si="20"/>
        <v>0.9262626262626262</v>
      </c>
      <c r="H173" s="290">
        <f t="shared" si="21"/>
        <v>-73</v>
      </c>
      <c r="I173" s="313">
        <v>116</v>
      </c>
      <c r="J173" s="232"/>
      <c r="K173" s="232"/>
      <c r="L173" s="232"/>
    </row>
    <row r="174" spans="1:12" ht="15.75">
      <c r="A174" s="63"/>
      <c r="B174" s="288">
        <v>5</v>
      </c>
      <c r="C174" s="31">
        <f>SUM(C93)</f>
        <v>1130</v>
      </c>
      <c r="D174" s="31">
        <f>SUM(D93)</f>
        <v>1278</v>
      </c>
      <c r="E174" s="309">
        <f>E93</f>
        <v>1238</v>
      </c>
      <c r="F174" s="31">
        <f>SUM(F93)</f>
        <v>1221</v>
      </c>
      <c r="G174" s="246">
        <f t="shared" si="20"/>
        <v>0.9862681744749596</v>
      </c>
      <c r="H174" s="290">
        <f t="shared" si="21"/>
        <v>-17</v>
      </c>
      <c r="I174" s="313">
        <v>173</v>
      </c>
      <c r="J174" s="232"/>
      <c r="K174" s="232"/>
      <c r="L174" s="232"/>
    </row>
    <row r="175" spans="1:12" ht="15.75">
      <c r="A175" s="63"/>
      <c r="B175" s="288">
        <v>6</v>
      </c>
      <c r="C175" s="31">
        <f>SUM(C110)</f>
        <v>860</v>
      </c>
      <c r="D175" s="31">
        <f>SUM(D110)</f>
        <v>943</v>
      </c>
      <c r="E175" s="309">
        <f>E110</f>
        <v>939</v>
      </c>
      <c r="F175" s="31">
        <f>SUM(F110)</f>
        <v>844</v>
      </c>
      <c r="G175" s="246">
        <f t="shared" si="20"/>
        <v>0.898828541001065</v>
      </c>
      <c r="H175" s="290">
        <f t="shared" si="21"/>
        <v>-95</v>
      </c>
      <c r="I175" s="313">
        <v>84</v>
      </c>
      <c r="J175" s="232"/>
      <c r="K175" s="232"/>
      <c r="L175" s="232"/>
    </row>
    <row r="176" spans="1:12" ht="15.75">
      <c r="A176" s="63"/>
      <c r="B176" s="288">
        <v>7</v>
      </c>
      <c r="C176" s="31">
        <f>SUM(C122)</f>
        <v>137</v>
      </c>
      <c r="D176" s="31">
        <f>SUM(D122)</f>
        <v>152</v>
      </c>
      <c r="E176" s="309">
        <f>E122</f>
        <v>153</v>
      </c>
      <c r="F176" s="31">
        <f>SUM(F122)</f>
        <v>166</v>
      </c>
      <c r="G176" s="246">
        <f t="shared" si="20"/>
        <v>1.0849673202614378</v>
      </c>
      <c r="H176" s="290">
        <f t="shared" si="21"/>
        <v>13</v>
      </c>
      <c r="I176" s="313">
        <v>27</v>
      </c>
      <c r="J176" s="232"/>
      <c r="K176" s="232"/>
      <c r="L176" s="232"/>
    </row>
    <row r="177" spans="1:12" ht="15.75">
      <c r="A177" s="63"/>
      <c r="B177" s="288">
        <v>8</v>
      </c>
      <c r="C177" s="31">
        <f>SUM(C133)</f>
        <v>347</v>
      </c>
      <c r="D177" s="31">
        <f>SUM(D133)</f>
        <v>390</v>
      </c>
      <c r="E177" s="309">
        <f>E133</f>
        <v>390</v>
      </c>
      <c r="F177" s="31">
        <f>SUM(F133)</f>
        <v>391</v>
      </c>
      <c r="G177" s="246">
        <f t="shared" si="20"/>
        <v>1.0025641025641026</v>
      </c>
      <c r="H177" s="290">
        <f t="shared" si="21"/>
        <v>1</v>
      </c>
      <c r="I177" s="313">
        <v>46</v>
      </c>
      <c r="J177" s="232"/>
      <c r="K177" s="232"/>
      <c r="L177" s="232"/>
    </row>
    <row r="178" spans="1:12" ht="15.75">
      <c r="A178" s="63"/>
      <c r="B178" s="288">
        <v>9</v>
      </c>
      <c r="C178" s="31">
        <f>SUM(C146)</f>
        <v>220</v>
      </c>
      <c r="D178" s="31">
        <f>SUM(D146)</f>
        <v>255</v>
      </c>
      <c r="E178" s="309">
        <f>E146</f>
        <v>253</v>
      </c>
      <c r="F178" s="31">
        <f>SUM(F146)</f>
        <v>237</v>
      </c>
      <c r="G178" s="246">
        <f t="shared" si="20"/>
        <v>0.9367588932806324</v>
      </c>
      <c r="H178" s="290">
        <f t="shared" si="21"/>
        <v>-16</v>
      </c>
      <c r="I178" s="313">
        <v>43</v>
      </c>
      <c r="J178" s="232"/>
      <c r="L178" s="232"/>
    </row>
    <row r="179" spans="1:12" ht="15.75">
      <c r="A179" s="63"/>
      <c r="B179" s="288">
        <v>10</v>
      </c>
      <c r="C179" s="31">
        <f>SUM(C165)</f>
        <v>606</v>
      </c>
      <c r="D179" s="31">
        <f>SUM(D165)</f>
        <v>679</v>
      </c>
      <c r="E179" s="309">
        <f>E165</f>
        <v>658</v>
      </c>
      <c r="F179" s="31">
        <f>SUM(F165)</f>
        <v>689</v>
      </c>
      <c r="G179" s="246">
        <f t="shared" si="20"/>
        <v>1.047112462006079</v>
      </c>
      <c r="H179" s="290">
        <f t="shared" si="21"/>
        <v>31</v>
      </c>
      <c r="I179" s="313">
        <v>76</v>
      </c>
      <c r="J179" s="232"/>
      <c r="L179" s="232"/>
    </row>
    <row r="180" spans="1:16" s="191" customFormat="1" ht="18">
      <c r="A180" s="63"/>
      <c r="B180" s="291" t="s">
        <v>20</v>
      </c>
      <c r="C180" s="248">
        <f>SUM(C170:C179)</f>
        <v>4967</v>
      </c>
      <c r="D180" s="248">
        <f>SUM(D170:D179)</f>
        <v>5517</v>
      </c>
      <c r="E180" s="307">
        <f>SUM(E170:E179)</f>
        <v>5442</v>
      </c>
      <c r="F180" s="248">
        <f>SUM(F170:F179)</f>
        <v>5274</v>
      </c>
      <c r="G180" s="222"/>
      <c r="H180" s="292">
        <f>SUM(H170:H179)</f>
        <v>-168</v>
      </c>
      <c r="I180" s="312"/>
      <c r="J180" s="7"/>
      <c r="K180" s="18"/>
      <c r="L180" s="7"/>
      <c r="M180" s="2"/>
      <c r="N180" s="2"/>
      <c r="O180" s="11"/>
      <c r="P180" s="148"/>
    </row>
    <row r="181" spans="1:10" s="191" customFormat="1" ht="18">
      <c r="A181" s="63"/>
      <c r="B181" s="291"/>
      <c r="C181" s="251"/>
      <c r="D181" s="251"/>
      <c r="E181" s="251"/>
      <c r="F181" s="251"/>
      <c r="G181" s="252"/>
      <c r="H181" s="293"/>
      <c r="I181" s="311"/>
      <c r="J181" s="54"/>
    </row>
    <row r="182" spans="1:9" s="56" customFormat="1" ht="21" thickBot="1">
      <c r="A182" s="63"/>
      <c r="B182" s="294" t="s">
        <v>188</v>
      </c>
      <c r="C182" s="295"/>
      <c r="D182" s="296"/>
      <c r="E182" s="296">
        <f>SUM(E170:E179)</f>
        <v>5442</v>
      </c>
      <c r="F182" s="296">
        <f>F180</f>
        <v>5274</v>
      </c>
      <c r="G182" s="297">
        <f>F182/E182</f>
        <v>0.9691289966923925</v>
      </c>
      <c r="H182" s="298">
        <f>F182-E182</f>
        <v>-168</v>
      </c>
      <c r="I182" s="314">
        <f>SUM(I170:I179)</f>
        <v>670</v>
      </c>
    </row>
    <row r="183" spans="1:9" s="56" customFormat="1" ht="16.5" thickTop="1">
      <c r="A183" s="63"/>
      <c r="B183" s="299"/>
      <c r="C183" s="300"/>
      <c r="D183" s="301"/>
      <c r="E183" s="301"/>
      <c r="F183" s="301"/>
      <c r="G183" s="302"/>
      <c r="H183" s="303"/>
      <c r="I183" s="281"/>
    </row>
    <row r="184" spans="1:11" s="194" customFormat="1" ht="23.25">
      <c r="A184" s="63"/>
      <c r="B184" s="192" t="str">
        <f>B3</f>
        <v>                                               Next Target Date: 07/26/2023       105%</v>
      </c>
      <c r="C184" s="195"/>
      <c r="D184" s="196"/>
      <c r="E184" s="196"/>
      <c r="F184" s="304"/>
      <c r="H184" s="305"/>
      <c r="I184" s="304"/>
      <c r="K184" s="194" t="s">
        <v>0</v>
      </c>
    </row>
    <row r="185" spans="1:9" ht="15.75">
      <c r="A185" s="63"/>
      <c r="B185" s="306" t="s">
        <v>129</v>
      </c>
      <c r="C185" s="54"/>
      <c r="D185" s="54"/>
      <c r="E185" s="54"/>
      <c r="F185" s="54"/>
      <c r="G185" s="54"/>
      <c r="H185" s="232"/>
      <c r="I185" s="306"/>
    </row>
    <row r="186" spans="1:9" ht="18">
      <c r="A186" s="65"/>
      <c r="B186" s="323" t="s">
        <v>184</v>
      </c>
      <c r="C186" s="323"/>
      <c r="D186" s="323"/>
      <c r="E186" s="323"/>
      <c r="F186" s="323"/>
      <c r="G186" s="323"/>
      <c r="H186" s="215" t="s">
        <v>0</v>
      </c>
      <c r="I186" s="1" t="s">
        <v>0</v>
      </c>
    </row>
  </sheetData>
  <sheetProtection/>
  <mergeCells count="1">
    <mergeCell ref="B186:G186"/>
  </mergeCells>
  <printOptions horizontalCentered="1" verticalCentered="1"/>
  <pageMargins left="0.7" right="0.7" top="0.75" bottom="0.75" header="0.3" footer="0.3"/>
  <pageSetup fitToHeight="0" fitToWidth="1" horizontalDpi="600" verticalDpi="600" orientation="portrait" scale="67" r:id="rId1"/>
  <rowBreaks count="2" manualBreakCount="2">
    <brk id="65" max="255" man="1"/>
    <brk id="1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Hall</dc:creator>
  <cp:keywords/>
  <dc:description/>
  <cp:lastModifiedBy>Admin</cp:lastModifiedBy>
  <cp:lastPrinted>2023-06-16T13:55:23Z</cp:lastPrinted>
  <dcterms:created xsi:type="dcterms:W3CDTF">2003-07-29T01:24:28Z</dcterms:created>
  <dcterms:modified xsi:type="dcterms:W3CDTF">2023-07-27T18:51:22Z</dcterms:modified>
  <cp:category/>
  <cp:version/>
  <cp:contentType/>
  <cp:contentStatus/>
</cp:coreProperties>
</file>