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60" windowWidth="19200" windowHeight="12435" firstSheet="1" activeTab="1"/>
  </bookViews>
  <sheets>
    <sheet name="PSQuerySave1" sheetId="1" state="hidden" r:id="rId1"/>
    <sheet name="2023" sheetId="2" r:id="rId2"/>
    <sheet name="Sheet1" sheetId="3" state="hidden" r:id="rId3"/>
  </sheets>
  <definedNames>
    <definedName name="\A1">#REF!</definedName>
    <definedName name="\A10">#REF!</definedName>
    <definedName name="\A11">#REF!</definedName>
    <definedName name="\A13">#REF!</definedName>
    <definedName name="\A2">#REF!</definedName>
    <definedName name="\A20">#REF!</definedName>
    <definedName name="\A3">#REF!</definedName>
    <definedName name="\A4">#REF!</definedName>
    <definedName name="\A5">#REF!</definedName>
    <definedName name="\A6">#REF!</definedName>
    <definedName name="\A7">#REF!</definedName>
    <definedName name="\A8">#REF!</definedName>
    <definedName name="\A9">#REF!</definedName>
    <definedName name="\B1">#REF!</definedName>
    <definedName name="\B2">#REF!</definedName>
    <definedName name="_xlnm.Print_Area" localSheetId="1">'2023'!$A$1:$M$478</definedName>
  </definedNames>
  <calcPr fullCalcOnLoad="1"/>
</workbook>
</file>

<file path=xl/sharedStrings.xml><?xml version="1.0" encoding="utf-8"?>
<sst xmlns="http://schemas.openxmlformats.org/spreadsheetml/2006/main" count="887" uniqueCount="684">
  <si>
    <t xml:space="preserve"> </t>
  </si>
  <si>
    <t>125</t>
  </si>
  <si>
    <t>152</t>
  </si>
  <si>
    <t>155</t>
  </si>
  <si>
    <t>160</t>
  </si>
  <si>
    <t>254</t>
  </si>
  <si>
    <t>298</t>
  </si>
  <si>
    <t>340</t>
  </si>
  <si>
    <t>350</t>
  </si>
  <si>
    <t>446</t>
  </si>
  <si>
    <t>456</t>
  </si>
  <si>
    <t>28</t>
  </si>
  <si>
    <t>81</t>
  </si>
  <si>
    <t>123</t>
  </si>
  <si>
    <t>148</t>
  </si>
  <si>
    <t>168</t>
  </si>
  <si>
    <t>224</t>
  </si>
  <si>
    <t>236</t>
  </si>
  <si>
    <t>239</t>
  </si>
  <si>
    <t>245</t>
  </si>
  <si>
    <t>260</t>
  </si>
  <si>
    <t>266</t>
  </si>
  <si>
    <t>271</t>
  </si>
  <si>
    <t>304</t>
  </si>
  <si>
    <t>344</t>
  </si>
  <si>
    <t xml:space="preserve">  25</t>
  </si>
  <si>
    <t xml:space="preserve">  52</t>
  </si>
  <si>
    <t>124</t>
  </si>
  <si>
    <t>130</t>
  </si>
  <si>
    <t>185</t>
  </si>
  <si>
    <t>207</t>
  </si>
  <si>
    <t>241</t>
  </si>
  <si>
    <t>275</t>
  </si>
  <si>
    <t>277</t>
  </si>
  <si>
    <t>286</t>
  </si>
  <si>
    <t>293</t>
  </si>
  <si>
    <t>325</t>
  </si>
  <si>
    <t>337</t>
  </si>
  <si>
    <t>338</t>
  </si>
  <si>
    <t>351</t>
  </si>
  <si>
    <t>353</t>
  </si>
  <si>
    <t>356</t>
  </si>
  <si>
    <t>420</t>
  </si>
  <si>
    <t>430</t>
  </si>
  <si>
    <t>438</t>
  </si>
  <si>
    <t>452</t>
  </si>
  <si>
    <t xml:space="preserve">    2</t>
  </si>
  <si>
    <t xml:space="preserve">    9</t>
  </si>
  <si>
    <t xml:space="preserve">  10</t>
  </si>
  <si>
    <t xml:space="preserve">  31</t>
  </si>
  <si>
    <t xml:space="preserve">  33</t>
  </si>
  <si>
    <t xml:space="preserve">  41</t>
  </si>
  <si>
    <t xml:space="preserve">  42</t>
  </si>
  <si>
    <t xml:space="preserve">  50</t>
  </si>
  <si>
    <t xml:space="preserve">  58</t>
  </si>
  <si>
    <t xml:space="preserve">  59</t>
  </si>
  <si>
    <t xml:space="preserve">  92</t>
  </si>
  <si>
    <t xml:space="preserve">  96</t>
  </si>
  <si>
    <t>102</t>
  </si>
  <si>
    <t>109</t>
  </si>
  <si>
    <t>119</t>
  </si>
  <si>
    <t>129</t>
  </si>
  <si>
    <t>138</t>
  </si>
  <si>
    <t>142</t>
  </si>
  <si>
    <t>151</t>
  </si>
  <si>
    <t>161</t>
  </si>
  <si>
    <t>162</t>
  </si>
  <si>
    <t>163</t>
  </si>
  <si>
    <t>173</t>
  </si>
  <si>
    <t>174</t>
  </si>
  <si>
    <t>184</t>
  </si>
  <si>
    <t>189</t>
  </si>
  <si>
    <t>193</t>
  </si>
  <si>
    <t>201</t>
  </si>
  <si>
    <t>204</t>
  </si>
  <si>
    <t>234</t>
  </si>
  <si>
    <t>238</t>
  </si>
  <si>
    <t>244</t>
  </si>
  <si>
    <t>246</t>
  </si>
  <si>
    <t>279</t>
  </si>
  <si>
    <t>288</t>
  </si>
  <si>
    <t>306</t>
  </si>
  <si>
    <t>310</t>
  </si>
  <si>
    <t>318</t>
  </si>
  <si>
    <t>319</t>
  </si>
  <si>
    <t>323</t>
  </si>
  <si>
    <t>341</t>
  </si>
  <si>
    <t>343</t>
  </si>
  <si>
    <t>355</t>
  </si>
  <si>
    <t>373</t>
  </si>
  <si>
    <t>386</t>
  </si>
  <si>
    <t>391</t>
  </si>
  <si>
    <t>397</t>
  </si>
  <si>
    <t>398</t>
  </si>
  <si>
    <t>411</t>
  </si>
  <si>
    <t>414</t>
  </si>
  <si>
    <t>415</t>
  </si>
  <si>
    <t>429</t>
  </si>
  <si>
    <t>435</t>
  </si>
  <si>
    <t>443</t>
  </si>
  <si>
    <t xml:space="preserve">  19</t>
  </si>
  <si>
    <t xml:space="preserve">  45</t>
  </si>
  <si>
    <t xml:space="preserve">  47</t>
  </si>
  <si>
    <t xml:space="preserve">  55</t>
  </si>
  <si>
    <t xml:space="preserve">  62</t>
  </si>
  <si>
    <t xml:space="preserve">  63</t>
  </si>
  <si>
    <t xml:space="preserve">  69</t>
  </si>
  <si>
    <t xml:space="preserve">  74</t>
  </si>
  <si>
    <t xml:space="preserve">  77</t>
  </si>
  <si>
    <t xml:space="preserve">  87</t>
  </si>
  <si>
    <t xml:space="preserve">  90</t>
  </si>
  <si>
    <t>100</t>
  </si>
  <si>
    <t>101</t>
  </si>
  <si>
    <t>115</t>
  </si>
  <si>
    <t>132</t>
  </si>
  <si>
    <t>133</t>
  </si>
  <si>
    <t>136</t>
  </si>
  <si>
    <t>139</t>
  </si>
  <si>
    <t>141</t>
  </si>
  <si>
    <t>156</t>
  </si>
  <si>
    <t>159</t>
  </si>
  <si>
    <t>165</t>
  </si>
  <si>
    <t>183</t>
  </si>
  <si>
    <t>191</t>
  </si>
  <si>
    <t>199</t>
  </si>
  <si>
    <t>202</t>
  </si>
  <si>
    <t>212</t>
  </si>
  <si>
    <t>213</t>
  </si>
  <si>
    <t>221</t>
  </si>
  <si>
    <t>235</t>
  </si>
  <si>
    <t>247</t>
  </si>
  <si>
    <t>249</t>
  </si>
  <si>
    <t>259</t>
  </si>
  <si>
    <t>268</t>
  </si>
  <si>
    <t>273</t>
  </si>
  <si>
    <t>313</t>
  </si>
  <si>
    <t>315</t>
  </si>
  <si>
    <t>361</t>
  </si>
  <si>
    <t>366</t>
  </si>
  <si>
    <t>388</t>
  </si>
  <si>
    <t>437</t>
  </si>
  <si>
    <t>440</t>
  </si>
  <si>
    <t>442</t>
  </si>
  <si>
    <t>447</t>
  </si>
  <si>
    <t xml:space="preserve">  11</t>
  </si>
  <si>
    <t xml:space="preserve">  14</t>
  </si>
  <si>
    <t xml:space="preserve">  18</t>
  </si>
  <si>
    <t xml:space="preserve">  24</t>
  </si>
  <si>
    <t xml:space="preserve">  70</t>
  </si>
  <si>
    <t xml:space="preserve">  72</t>
  </si>
  <si>
    <t xml:space="preserve">  75</t>
  </si>
  <si>
    <t xml:space="preserve">  79</t>
  </si>
  <si>
    <t xml:space="preserve">  86</t>
  </si>
  <si>
    <t xml:space="preserve">  89</t>
  </si>
  <si>
    <t xml:space="preserve">  93</t>
  </si>
  <si>
    <t xml:space="preserve">  95</t>
  </si>
  <si>
    <t>104</t>
  </si>
  <si>
    <t>106</t>
  </si>
  <si>
    <t>110</t>
  </si>
  <si>
    <t>118</t>
  </si>
  <si>
    <t>137</t>
  </si>
  <si>
    <t>169</t>
  </si>
  <si>
    <t>208</t>
  </si>
  <si>
    <t>209</t>
  </si>
  <si>
    <t>217</t>
  </si>
  <si>
    <t>225</t>
  </si>
  <si>
    <t>294</t>
  </si>
  <si>
    <t>320</t>
  </si>
  <si>
    <t>335</t>
  </si>
  <si>
    <t>367</t>
  </si>
  <si>
    <t>380</t>
  </si>
  <si>
    <t>382</t>
  </si>
  <si>
    <t xml:space="preserve">  16</t>
  </si>
  <si>
    <t xml:space="preserve">  17</t>
  </si>
  <si>
    <t xml:space="preserve">  26</t>
  </si>
  <si>
    <t xml:space="preserve">  30</t>
  </si>
  <si>
    <t xml:space="preserve">  36</t>
  </si>
  <si>
    <t xml:space="preserve">  60</t>
  </si>
  <si>
    <t xml:space="preserve">  61</t>
  </si>
  <si>
    <t xml:space="preserve">  65</t>
  </si>
  <si>
    <t xml:space="preserve">  67</t>
  </si>
  <si>
    <t xml:space="preserve">  76</t>
  </si>
  <si>
    <t xml:space="preserve">  78</t>
  </si>
  <si>
    <t>117</t>
  </si>
  <si>
    <t>146</t>
  </si>
  <si>
    <t>296</t>
  </si>
  <si>
    <t>297</t>
  </si>
  <si>
    <t>327</t>
  </si>
  <si>
    <t>328</t>
  </si>
  <si>
    <t>368</t>
  </si>
  <si>
    <t>369</t>
  </si>
  <si>
    <t>383</t>
  </si>
  <si>
    <t>399</t>
  </si>
  <si>
    <t xml:space="preserve">    3</t>
  </si>
  <si>
    <t xml:space="preserve">    4</t>
  </si>
  <si>
    <t xml:space="preserve">    6</t>
  </si>
  <si>
    <t xml:space="preserve">    8</t>
  </si>
  <si>
    <t xml:space="preserve">  23</t>
  </si>
  <si>
    <t xml:space="preserve">  32</t>
  </si>
  <si>
    <t xml:space="preserve">  46</t>
  </si>
  <si>
    <t xml:space="preserve">  57</t>
  </si>
  <si>
    <t xml:space="preserve">  80</t>
  </si>
  <si>
    <t xml:space="preserve">  98</t>
  </si>
  <si>
    <t>113</t>
  </si>
  <si>
    <t>122</t>
  </si>
  <si>
    <t>131</t>
  </si>
  <si>
    <t>134</t>
  </si>
  <si>
    <t>150</t>
  </si>
  <si>
    <t>153</t>
  </si>
  <si>
    <t>180</t>
  </si>
  <si>
    <t>187</t>
  </si>
  <si>
    <t>194</t>
  </si>
  <si>
    <t>210</t>
  </si>
  <si>
    <t>211</t>
  </si>
  <si>
    <t>215</t>
  </si>
  <si>
    <t>219</t>
  </si>
  <si>
    <t>227</t>
  </si>
  <si>
    <t>231</t>
  </si>
  <si>
    <t>240</t>
  </si>
  <si>
    <t>248</t>
  </si>
  <si>
    <t>255</t>
  </si>
  <si>
    <t>291</t>
  </si>
  <si>
    <t>309</t>
  </si>
  <si>
    <t>331</t>
  </si>
  <si>
    <t>345</t>
  </si>
  <si>
    <t>379</t>
  </si>
  <si>
    <t xml:space="preserve">    1</t>
  </si>
  <si>
    <t xml:space="preserve">    7</t>
  </si>
  <si>
    <t xml:space="preserve">  20</t>
  </si>
  <si>
    <t xml:space="preserve">  49</t>
  </si>
  <si>
    <t>121</t>
  </si>
  <si>
    <t>145</t>
  </si>
  <si>
    <t>198</t>
  </si>
  <si>
    <t>222</t>
  </si>
  <si>
    <t>228</t>
  </si>
  <si>
    <t>265</t>
  </si>
  <si>
    <t>302</t>
  </si>
  <si>
    <t>303</t>
  </si>
  <si>
    <t>307</t>
  </si>
  <si>
    <t>311</t>
  </si>
  <si>
    <t>312</t>
  </si>
  <si>
    <t>314</t>
  </si>
  <si>
    <t>405</t>
  </si>
  <si>
    <t>425</t>
  </si>
  <si>
    <t>459</t>
  </si>
  <si>
    <t>464</t>
  </si>
  <si>
    <t xml:space="preserve">  22</t>
  </si>
  <si>
    <t xml:space="preserve">  35</t>
  </si>
  <si>
    <t xml:space="preserve">  40</t>
  </si>
  <si>
    <t xml:space="preserve">  64</t>
  </si>
  <si>
    <t xml:space="preserve">  71</t>
  </si>
  <si>
    <t xml:space="preserve">  82</t>
  </si>
  <si>
    <t xml:space="preserve">  88</t>
  </si>
  <si>
    <t xml:space="preserve">  91</t>
  </si>
  <si>
    <t>108</t>
  </si>
  <si>
    <t>112</t>
  </si>
  <si>
    <t>120</t>
  </si>
  <si>
    <t>140</t>
  </si>
  <si>
    <t>143</t>
  </si>
  <si>
    <t>147</t>
  </si>
  <si>
    <t>149</t>
  </si>
  <si>
    <t>186</t>
  </si>
  <si>
    <t>188</t>
  </si>
  <si>
    <t>192</t>
  </si>
  <si>
    <t>203</t>
  </si>
  <si>
    <t>206</t>
  </si>
  <si>
    <t>220</t>
  </si>
  <si>
    <t>223</t>
  </si>
  <si>
    <t>226</t>
  </si>
  <si>
    <t>257</t>
  </si>
  <si>
    <t>280</t>
  </si>
  <si>
    <t>287</t>
  </si>
  <si>
    <t>308</t>
  </si>
  <si>
    <t>387</t>
  </si>
  <si>
    <t>488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</si>
  <si>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</si>
  <si>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</si>
  <si>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</si>
  <si>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</si>
  <si>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</si>
  <si>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</si>
  <si>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</si>
  <si>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</si>
  <si>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</si>
  <si>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462</t>
  </si>
  <si>
    <t>DISTRICT 1 - BERKSHIRE COUNTY</t>
  </si>
  <si>
    <t>ADAMS</t>
  </si>
  <si>
    <t>SHEFFIELD</t>
  </si>
  <si>
    <t xml:space="preserve">TOTALS </t>
  </si>
  <si>
    <t>DISTRICT 2-HAMPSHIRE/FRANKLIN</t>
  </si>
  <si>
    <t>NORTHAMPTON</t>
  </si>
  <si>
    <t>AMHERST</t>
  </si>
  <si>
    <t>SOUTHAMPTON</t>
  </si>
  <si>
    <t>ORANGE</t>
  </si>
  <si>
    <t>ASHFIELD</t>
  </si>
  <si>
    <t>GRANBY</t>
  </si>
  <si>
    <t>OLDE HADLEY</t>
  </si>
  <si>
    <t>CUMMINGTON</t>
  </si>
  <si>
    <t>HATFIELD</t>
  </si>
  <si>
    <t>DISTRICT 3 - HAMPDEN COUNTY</t>
  </si>
  <si>
    <t>HOLYOKE</t>
  </si>
  <si>
    <t>LUDLOW</t>
  </si>
  <si>
    <t>WESTFIELD</t>
  </si>
  <si>
    <t>WEST SPRINGFIELD</t>
  </si>
  <si>
    <t>CHICOPEE FALLS</t>
  </si>
  <si>
    <t>INDIAN ORCHARD</t>
  </si>
  <si>
    <t>WILBRAHAM</t>
  </si>
  <si>
    <t>SOUTHWICK</t>
  </si>
  <si>
    <t>WILLIMANSETT</t>
  </si>
  <si>
    <t>BLANDFORD</t>
  </si>
  <si>
    <t>E SPRINGFIELD</t>
  </si>
  <si>
    <t>LIBERTY</t>
  </si>
  <si>
    <t>FAIRVIEW</t>
  </si>
  <si>
    <t>DISTRICT 4 - WORCESTER COUNTY</t>
  </si>
  <si>
    <t>BARRE</t>
  </si>
  <si>
    <t>MILLBURY</t>
  </si>
  <si>
    <t>FITCHBURG</t>
  </si>
  <si>
    <t>SOUTHBRIDGE</t>
  </si>
  <si>
    <t>UXBRIDGE</t>
  </si>
  <si>
    <t>NO BROOKFIELD</t>
  </si>
  <si>
    <t>HOLDEN</t>
  </si>
  <si>
    <t>CLINTON</t>
  </si>
  <si>
    <t>OXFORD</t>
  </si>
  <si>
    <t>MILFORD</t>
  </si>
  <si>
    <t>NO GRAFTON</t>
  </si>
  <si>
    <t>LANCASTER</t>
  </si>
  <si>
    <t>ATHOL</t>
  </si>
  <si>
    <t>STURBRIDGE</t>
  </si>
  <si>
    <t>HARVARD</t>
  </si>
  <si>
    <t>GARDNER</t>
  </si>
  <si>
    <t>SPENCER</t>
  </si>
  <si>
    <t>ASHBURNHAM</t>
  </si>
  <si>
    <t>LEOMINSTER</t>
  </si>
  <si>
    <t>SOUTHBORO</t>
  </si>
  <si>
    <t>BERLIN</t>
  </si>
  <si>
    <t>WESTBORO</t>
  </si>
  <si>
    <t>UPTON</t>
  </si>
  <si>
    <t>WESTMINSTER</t>
  </si>
  <si>
    <t xml:space="preserve">WEBSTER </t>
  </si>
  <si>
    <t>STERLING</t>
  </si>
  <si>
    <t>WINCHENDON</t>
  </si>
  <si>
    <t>EAST SIDE</t>
  </si>
  <si>
    <t>WEST BOYLSTON</t>
  </si>
  <si>
    <t>NORTHBORO</t>
  </si>
  <si>
    <t>SHREWSBURY</t>
  </si>
  <si>
    <t>W BROOKFIELD</t>
  </si>
  <si>
    <t>GILBERTVILLE</t>
  </si>
  <si>
    <t>AUBURN</t>
  </si>
  <si>
    <t>TATNUCK</t>
  </si>
  <si>
    <t>PAXTON</t>
  </si>
  <si>
    <t>RUTLAND</t>
  </si>
  <si>
    <t>QUINSIGAMOND</t>
  </si>
  <si>
    <t>GREENDALE</t>
  </si>
  <si>
    <t>GRAFTON HILL</t>
  </si>
  <si>
    <t>MAIN SOUTH</t>
  </si>
  <si>
    <t>NORTHBRIDGE</t>
  </si>
  <si>
    <t>MENDON</t>
  </si>
  <si>
    <t>BALDWINVILLE</t>
  </si>
  <si>
    <t>E BROOKFIELD</t>
  </si>
  <si>
    <t>CHARLTON</t>
  </si>
  <si>
    <t>VICTOR J QUARANTA</t>
  </si>
  <si>
    <t>BOYLSTON</t>
  </si>
  <si>
    <t>MILLVILLE</t>
  </si>
  <si>
    <t>SUTTON</t>
  </si>
  <si>
    <t>PETERSHAM</t>
  </si>
  <si>
    <t>CLEGHORN</t>
  </si>
  <si>
    <t>VERNON HILL</t>
  </si>
  <si>
    <t>CHERRY VALLEY</t>
  </si>
  <si>
    <t>DISTRICT 5 - MIDDLESEX COUNTY</t>
  </si>
  <si>
    <t>SOMERVILLE</t>
  </si>
  <si>
    <t>ARLINGTON</t>
  </si>
  <si>
    <t>MEDFORD</t>
  </si>
  <si>
    <t>HOLLISTON</t>
  </si>
  <si>
    <t>NEWTON</t>
  </si>
  <si>
    <t>GROTON</t>
  </si>
  <si>
    <t>READING</t>
  </si>
  <si>
    <t>WAKEFIELD</t>
  </si>
  <si>
    <t>MALDEN</t>
  </si>
  <si>
    <t>ASHLAND</t>
  </si>
  <si>
    <t>LOWELL</t>
  </si>
  <si>
    <t>HUDSON</t>
  </si>
  <si>
    <t>WOBURN</t>
  </si>
  <si>
    <t>STONEHAM</t>
  </si>
  <si>
    <t>MARLBORO</t>
  </si>
  <si>
    <t>WAYLAND</t>
  </si>
  <si>
    <t>WILMINGTON</t>
  </si>
  <si>
    <t>AYER</t>
  </si>
  <si>
    <t>WALTHAM</t>
  </si>
  <si>
    <t>WESTFORD</t>
  </si>
  <si>
    <t>BELMONT</t>
  </si>
  <si>
    <t>SHIRLEY</t>
  </si>
  <si>
    <t>SUDBURY</t>
  </si>
  <si>
    <t>TOWNSEND</t>
  </si>
  <si>
    <t>HOPKINTON</t>
  </si>
  <si>
    <t>CHELMSFORD</t>
  </si>
  <si>
    <t>PEPPERELL</t>
  </si>
  <si>
    <t>BEDFORD</t>
  </si>
  <si>
    <t>MAYNARD</t>
  </si>
  <si>
    <t>TYNGSBORO</t>
  </si>
  <si>
    <t>LITTLETON</t>
  </si>
  <si>
    <t>TEWKSBURY</t>
  </si>
  <si>
    <t>BILLERICA</t>
  </si>
  <si>
    <t>BURLINGTON</t>
  </si>
  <si>
    <t>NO CHELMSFORD</t>
  </si>
  <si>
    <t>DRACUT</t>
  </si>
  <si>
    <t>ASHBY</t>
  </si>
  <si>
    <t>E CHELMSFORD</t>
  </si>
  <si>
    <t>E SOMERVILLE</t>
  </si>
  <si>
    <t>NABNASSET</t>
  </si>
  <si>
    <t>NONANTUM</t>
  </si>
  <si>
    <t>MARSH</t>
  </si>
  <si>
    <t xml:space="preserve">TOTALS  </t>
  </si>
  <si>
    <t>DISTRICT 6 - NORFOLK COUNTY</t>
  </si>
  <si>
    <t>BROOKLINE</t>
  </si>
  <si>
    <t>NEEDHAM</t>
  </si>
  <si>
    <t>DEDHAM</t>
  </si>
  <si>
    <t>CANTON</t>
  </si>
  <si>
    <t>NORWOOD</t>
  </si>
  <si>
    <t>WELLESLEY</t>
  </si>
  <si>
    <t>FRANKLIN</t>
  </si>
  <si>
    <t>WEYMOUTH</t>
  </si>
  <si>
    <t>BRAINTREE</t>
  </si>
  <si>
    <t>STOUGHTON</t>
  </si>
  <si>
    <t>FOXBORO</t>
  </si>
  <si>
    <t>QUINCY</t>
  </si>
  <si>
    <t xml:space="preserve">WALPOLE </t>
  </si>
  <si>
    <t>SHARON</t>
  </si>
  <si>
    <t>MEDFIELD</t>
  </si>
  <si>
    <t>MILTON</t>
  </si>
  <si>
    <t>COHASSET</t>
  </si>
  <si>
    <t>RANDOLPH</t>
  </si>
  <si>
    <t>MILLIS</t>
  </si>
  <si>
    <t>DOVER</t>
  </si>
  <si>
    <t>PLAINVILLE</t>
  </si>
  <si>
    <t>WRENTHAM</t>
  </si>
  <si>
    <t>MORRISETTE</t>
  </si>
  <si>
    <t>WESTWOOD</t>
  </si>
  <si>
    <t>NORFOLK</t>
  </si>
  <si>
    <t>MEDWAY</t>
  </si>
  <si>
    <t>HOUGH'S NECK</t>
  </si>
  <si>
    <t>SQUANTUM</t>
  </si>
  <si>
    <t>DISTRICT 7  SUFFOLK COUNTY</t>
  </si>
  <si>
    <t>REVERE</t>
  </si>
  <si>
    <t>OLD DORCHESTER</t>
  </si>
  <si>
    <t>MICHAEL J  PERKINS</t>
  </si>
  <si>
    <t>JAMAICA PLAIN</t>
  </si>
  <si>
    <t>FOGG-ROBERTS</t>
  </si>
  <si>
    <t>WINTHROP</t>
  </si>
  <si>
    <t>CAPITOL HILL</t>
  </si>
  <si>
    <t>MISSION HILL</t>
  </si>
  <si>
    <t>CHINATOWN</t>
  </si>
  <si>
    <t>MARTIN F McDONOUGH</t>
  </si>
  <si>
    <t>PAUL J SAUNDERS</t>
  </si>
  <si>
    <t>LTJG W M PENNEY</t>
  </si>
  <si>
    <t>DISTRICT 8 - ESSEX COUNTY</t>
  </si>
  <si>
    <t>GLOUCESTER</t>
  </si>
  <si>
    <t>HAVERHILL</t>
  </si>
  <si>
    <t>LYNN</t>
  </si>
  <si>
    <t>ANDOVER</t>
  </si>
  <si>
    <t>BEVERLY</t>
  </si>
  <si>
    <t>SALEM</t>
  </si>
  <si>
    <t>MARBLEHEAD</t>
  </si>
  <si>
    <t>BEVERLY FARMS</t>
  </si>
  <si>
    <t>SWAMPSCOTT</t>
  </si>
  <si>
    <t>IPSWICH</t>
  </si>
  <si>
    <t>ROCKPORT</t>
  </si>
  <si>
    <t>MANCHESTER</t>
  </si>
  <si>
    <t>METHUEN</t>
  </si>
  <si>
    <t xml:space="preserve">LYNNFIELD </t>
  </si>
  <si>
    <t>MERRIMAC</t>
  </si>
  <si>
    <t>NEWBURYPORT</t>
  </si>
  <si>
    <t>PEABODY</t>
  </si>
  <si>
    <t>DANVERS</t>
  </si>
  <si>
    <t>AMESBURY</t>
  </si>
  <si>
    <t>HAMILTON</t>
  </si>
  <si>
    <t>SAUGUS</t>
  </si>
  <si>
    <t>GEORGETOWN</t>
  </si>
  <si>
    <t>NAHANT</t>
  </si>
  <si>
    <t>NO ANDOVER</t>
  </si>
  <si>
    <t>MIDDLETON</t>
  </si>
  <si>
    <t>ESSEX</t>
  </si>
  <si>
    <t>WEST NEWBURY</t>
  </si>
  <si>
    <t>GROVELAND</t>
  </si>
  <si>
    <t>TOPSFIELD</t>
  </si>
  <si>
    <t>EAST LYNN</t>
  </si>
  <si>
    <t>SHOEMAKER</t>
  </si>
  <si>
    <t>BOXFORD</t>
  </si>
  <si>
    <t xml:space="preserve">TOTALS   </t>
  </si>
  <si>
    <t>DISTRICT 9 - BRISTOL COUNTY</t>
  </si>
  <si>
    <t>NEW BEDFORD</t>
  </si>
  <si>
    <t>EASTON</t>
  </si>
  <si>
    <t>ATTLEBORO</t>
  </si>
  <si>
    <t>NO ATTLEBORO</t>
  </si>
  <si>
    <t>BERKLEY</t>
  </si>
  <si>
    <t>FALL RIVER</t>
  </si>
  <si>
    <t>WESTPORT</t>
  </si>
  <si>
    <t>MANSFIELD</t>
  </si>
  <si>
    <t>NORTON</t>
  </si>
  <si>
    <t>SOMERSET</t>
  </si>
  <si>
    <t>ACUSHNET</t>
  </si>
  <si>
    <t>REHOBOTH</t>
  </si>
  <si>
    <t>SWANSEA</t>
  </si>
  <si>
    <t>SO DARTMOUTH</t>
  </si>
  <si>
    <t>SEEKONK</t>
  </si>
  <si>
    <t>SO ATTLEBORO</t>
  </si>
  <si>
    <t>RAYNHAM</t>
  </si>
  <si>
    <t>FREETOWN</t>
  </si>
  <si>
    <t>MOBY DICK</t>
  </si>
  <si>
    <t>DISTRICT 10 - PLY/BARN/NAN/DUKE</t>
  </si>
  <si>
    <t>WHITMAN</t>
  </si>
  <si>
    <t>BROCKTON</t>
  </si>
  <si>
    <t>PLYMOUTH</t>
  </si>
  <si>
    <t>PROVINCETOWN</t>
  </si>
  <si>
    <t>NANTUCKET</t>
  </si>
  <si>
    <t>MARSHFIELD</t>
  </si>
  <si>
    <t>E BRIDGEWATER</t>
  </si>
  <si>
    <t>KINGSTON</t>
  </si>
  <si>
    <t>ABINGTON</t>
  </si>
  <si>
    <t>HINGHAM</t>
  </si>
  <si>
    <t>HULL</t>
  </si>
  <si>
    <t>PEMBROKE</t>
  </si>
  <si>
    <t>ROCKLAND</t>
  </si>
  <si>
    <t>HANOVER</t>
  </si>
  <si>
    <t>EDGARTOWN</t>
  </si>
  <si>
    <t>SANDWICH</t>
  </si>
  <si>
    <t>NORWELL</t>
  </si>
  <si>
    <t>BRIDGEWATER</t>
  </si>
  <si>
    <t>BARNSTABLE</t>
  </si>
  <si>
    <t>WAREHAM</t>
  </si>
  <si>
    <t>DUXBURY</t>
  </si>
  <si>
    <t>HANSON</t>
  </si>
  <si>
    <t>CHATHAM</t>
  </si>
  <si>
    <t>VINEYARD HAVEN</t>
  </si>
  <si>
    <t>MATTAPOISETT</t>
  </si>
  <si>
    <t>WELLFLEET</t>
  </si>
  <si>
    <t>ORLEANS</t>
  </si>
  <si>
    <t>DENNIS</t>
  </si>
  <si>
    <t>BERKSHIRE</t>
  </si>
  <si>
    <t>FRANKLIN /HAMPSHIRE</t>
  </si>
  <si>
    <t>HAMPDEN</t>
  </si>
  <si>
    <t>WORCESTER</t>
  </si>
  <si>
    <t>MIDDLESEX</t>
  </si>
  <si>
    <t>SUFFOLK</t>
  </si>
  <si>
    <t>BRISTOL</t>
  </si>
  <si>
    <t>PLY/BARN/NAN/DUKE</t>
  </si>
  <si>
    <t>HEADQUARTERS</t>
  </si>
  <si>
    <t>TARGET</t>
  </si>
  <si>
    <t>NEED FOR</t>
  </si>
  <si>
    <t>CURRENT</t>
  </si>
  <si>
    <t xml:space="preserve">      </t>
  </si>
  <si>
    <t>LAST REMIT</t>
  </si>
  <si>
    <t>DATE</t>
  </si>
  <si>
    <t/>
  </si>
  <si>
    <t>.</t>
  </si>
  <si>
    <t>SCITUATE</t>
  </si>
  <si>
    <t>SALISBURY</t>
  </si>
  <si>
    <t>PUFL'S</t>
  </si>
  <si>
    <t xml:space="preserve">  </t>
  </si>
  <si>
    <t>GOAL</t>
  </si>
  <si>
    <t>% OF</t>
  </si>
  <si>
    <t>BOURNE</t>
  </si>
  <si>
    <t>TRANS</t>
  </si>
  <si>
    <t xml:space="preserve">   </t>
  </si>
  <si>
    <t>August</t>
  </si>
  <si>
    <t>September</t>
  </si>
  <si>
    <t>October</t>
  </si>
  <si>
    <t>November</t>
  </si>
  <si>
    <t>March</t>
  </si>
  <si>
    <t>April</t>
  </si>
  <si>
    <t xml:space="preserve">May </t>
  </si>
  <si>
    <t>June</t>
  </si>
  <si>
    <t>July</t>
  </si>
  <si>
    <t xml:space="preserve">January </t>
  </si>
  <si>
    <t>December</t>
  </si>
  <si>
    <t>Paid</t>
  </si>
  <si>
    <t>on</t>
  </si>
  <si>
    <t xml:space="preserve">Line </t>
  </si>
  <si>
    <t xml:space="preserve">Paid </t>
  </si>
  <si>
    <t xml:space="preserve">on </t>
  </si>
  <si>
    <t>Line</t>
  </si>
  <si>
    <t>MA ALL NURSES/MEDICAL</t>
  </si>
  <si>
    <t xml:space="preserve">                                                                               </t>
  </si>
  <si>
    <t xml:space="preserve"> as appended to the Department By-Laws</t>
  </si>
  <si>
    <t>(a) Upon recommendation in writing, submitted by the District Commander, the Department Executive Committee</t>
  </si>
  <si>
    <t xml:space="preserve">year as of thirty (30) days prior to the Department Convention of each year; provided that written notice of the </t>
  </si>
  <si>
    <t xml:space="preserve">intention to revoke said charter, and the reasons thereof, be served personally or by certified mail or registered </t>
  </si>
  <si>
    <t>mail upon the proper Post Officers, at least sixty (60) days before the date set for the recommendation of the</t>
  </si>
  <si>
    <t>revocation of the charter.</t>
  </si>
  <si>
    <t>(b) The charter of any Post may be revoked, canceled or suspended by the Department Executive Committee,</t>
  </si>
  <si>
    <t xml:space="preserve"> in accordence with the Uniform Code of Procedure for Revocation, Cancellation of suspension of Post Charters,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</si>
  <si>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</si>
  <si>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may recommend revocation of the charter of a Post which is less than fifteen (15) members in any one</t>
  </si>
  <si>
    <t>TOTAL PUFL'S</t>
  </si>
  <si>
    <t>Section 8. Revocation of Post Charters:</t>
  </si>
  <si>
    <t>TAUNTON</t>
  </si>
  <si>
    <t>GEORGE K MENICHIOS</t>
  </si>
  <si>
    <t>OLIVER AMES JR</t>
  </si>
  <si>
    <t>IRVING W ADAMS</t>
  </si>
  <si>
    <t>LTLAWRENCE J FLAHERTY</t>
  </si>
  <si>
    <t>WILLIAM E CARTER</t>
  </si>
  <si>
    <t>SANDERSFIELD</t>
  </si>
  <si>
    <t>J W CONWAY BUNKER HILL</t>
  </si>
  <si>
    <t>GREENFIELD</t>
  </si>
  <si>
    <t>WARE</t>
  </si>
  <si>
    <t>EASTHAMPTON</t>
  </si>
  <si>
    <t>HAYDENVILLE</t>
  </si>
  <si>
    <t>BELCHERTOWN</t>
  </si>
  <si>
    <t>SOUTH HADLEY FALLS</t>
  </si>
  <si>
    <t>PITTSFIELD</t>
  </si>
  <si>
    <t>NORTH ADAMS</t>
  </si>
  <si>
    <t>WILLIAMSTOWN</t>
  </si>
  <si>
    <t>DALTON</t>
  </si>
  <si>
    <t>WEST STOCKBRIDGE</t>
  </si>
  <si>
    <t>HOUSATONIC</t>
  </si>
  <si>
    <t>NEW MARLBORO</t>
  </si>
  <si>
    <t>LANESBORO</t>
  </si>
  <si>
    <t>PALMER</t>
  </si>
  <si>
    <t>AGAWAM</t>
  </si>
  <si>
    <t>MONSON</t>
  </si>
  <si>
    <t>EAST LONGMEADOW</t>
  </si>
  <si>
    <t>HOLYOKE (PAPER CITY)</t>
  </si>
  <si>
    <t>CHICOPEE (ALDENVILLE)</t>
  </si>
  <si>
    <t>CHICOPEE (CHICOPEE CTR)</t>
  </si>
  <si>
    <t>HOLYOKE (UNITED FORCES)</t>
  </si>
  <si>
    <t>TOTAL HQE  TRANS</t>
  </si>
  <si>
    <t>LONGMEADOW</t>
  </si>
  <si>
    <t>MIDDLEBOROUGH</t>
  </si>
  <si>
    <t>HQE</t>
  </si>
  <si>
    <t>462 AD</t>
  </si>
  <si>
    <t>Post 240 - 8 members 2021</t>
  </si>
  <si>
    <t xml:space="preserve">TOTAL NUMBER OF POST </t>
  </si>
  <si>
    <t>NATIONAL'S QUOTA 2022</t>
  </si>
  <si>
    <t>NATIONAL GOAL</t>
  </si>
  <si>
    <t>NEW</t>
  </si>
  <si>
    <t xml:space="preserve">                           Suspend Charter letter sent</t>
  </si>
  <si>
    <t>NATICK</t>
  </si>
  <si>
    <t xml:space="preserve">CMDR SYLVIA LEFEBVRE SVC GEORGE OLEEN   DECW CINCY LACOSTE                 </t>
  </si>
  <si>
    <t>CMDR SHAWN WHITE  SVC WALTER WHITE DVC  SCOTT CONNER</t>
  </si>
  <si>
    <t>CMDR  STEVE GALLANT   SVC  WILLIAM HALLENE  DVC SCOTT CONNER</t>
  </si>
  <si>
    <t xml:space="preserve">CMDR  ROBERT DESROSIERS      SVC  JAMES BLAKE       DVC  NELSON BLAKE    </t>
  </si>
  <si>
    <t>CMDR  JOHN CANNON     SVC  CHRIS MANNING       DVC  LISA MCPHEE</t>
  </si>
  <si>
    <t>CMDR JOHN BETTENCOURT    SVC  RICHARD MANGELS   DVC LISA MCPHEE</t>
  </si>
  <si>
    <t>CMDR PAUL CONNELL SVC  ROBERT BURKE  DVC  LISA MCPHEE</t>
  </si>
  <si>
    <t>2023 MEMB</t>
  </si>
  <si>
    <t xml:space="preserve">         Under The Constitution - Article XII Section 8 states:</t>
  </si>
  <si>
    <t>Feburary</t>
  </si>
  <si>
    <t xml:space="preserve">CMDR  RYAN HOWE SVC  GARY FONTAINE  DECW CINDY LACOSTE </t>
  </si>
  <si>
    <t>TOTAL   POSTS= 11</t>
  </si>
  <si>
    <t>TOTAL   POSTS=  15</t>
  </si>
  <si>
    <t>TOTAL   POSTS= 22</t>
  </si>
  <si>
    <t>TOTAL   POSTS= 54</t>
  </si>
  <si>
    <t>TOTAL  POSTS= 32</t>
  </si>
  <si>
    <t>HQU</t>
  </si>
  <si>
    <t>TOTAL HQU TRANS</t>
  </si>
  <si>
    <t>TOTAL   POSTS= 21</t>
  </si>
  <si>
    <t>TOTAL   POSTS= 33</t>
  </si>
  <si>
    <t>TOTAL   POSTS= 46</t>
  </si>
  <si>
    <t>TOTAL   POSTS= 29</t>
  </si>
  <si>
    <t>TOTAL  POSTS= 21</t>
  </si>
  <si>
    <t>CMDR ROBERT LEWIS   SVC JOHN MILOT   DVC  NELSON BLAKE</t>
  </si>
  <si>
    <t>CMDR JAMES SINATRA   SVC KAREN SCOTT   DVC NELSON BLAKE</t>
  </si>
  <si>
    <t>UPDATED</t>
  </si>
  <si>
    <t xml:space="preserve">2023 MEMBERSHIP REPORT </t>
  </si>
  <si>
    <t>Liberty Post 430 is tunrning in the Charter working on transferring members to other post</t>
  </si>
  <si>
    <t>Charter being turned in Wilbraham Post 286 has 1 member that needs to be transferred when weapons are all turn back to Washington.</t>
  </si>
  <si>
    <t xml:space="preserve">Post 314 is turning in their Charter </t>
  </si>
  <si>
    <t>TOTAL Paid to National 2023</t>
  </si>
  <si>
    <t>TOTAL Paid to National 2022</t>
  </si>
  <si>
    <t>*FRAMINGHAM</t>
  </si>
  <si>
    <t>*MELROSE</t>
  </si>
  <si>
    <t>*HOLBROOK</t>
  </si>
  <si>
    <t>*JOHN F KENNEDY</t>
  </si>
  <si>
    <t>*FRANCIS G KANE</t>
  </si>
  <si>
    <t>*WILLIAM G WALSH</t>
  </si>
  <si>
    <t xml:space="preserve"> TARGET DATE : 05/17/2023    100%</t>
  </si>
  <si>
    <t>Post 323 - suspended charter letter sent 7/7/2022 - Turn in charter 6-8-2023</t>
  </si>
  <si>
    <t>Turning in Charter for Post 212 - Transferred members to post 313</t>
  </si>
  <si>
    <t>Turning in Charter for Post 141 - Transferred members to post 440</t>
  </si>
  <si>
    <t>Post 367 Medway charter turn in to National at the May meetingws</t>
  </si>
  <si>
    <t>Working on Post 60</t>
  </si>
  <si>
    <t>Combine Post 17 &amp; 369 and turn in Post 369 charter</t>
  </si>
  <si>
    <t>11-28-2022 Letter by registered mail sent to Post 240 to revoke Charter - Turn in charter 6/8/2023</t>
  </si>
  <si>
    <t>Post 345 Turn in Charter then apply for a name change for Post 210</t>
  </si>
  <si>
    <t>Working on Post 203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</si>
</sst>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;[Red]0"/>
    <numFmt numFmtId="166" formatCode="0.00;[Red]0.00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%"/>
    <numFmt numFmtId="174" formatCode="[$-409]h:mm:ss\ AM/PM"/>
    <numFmt numFmtId="175" formatCode="[$-409]dddd\,\ mmmm\ d\,\ yyyy"/>
  </numFmts>
  <fonts count="7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sz val="18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30"/>
      <name val="Arial"/>
      <family val="2"/>
    </font>
    <font>
      <sz val="12"/>
      <color indexed="9"/>
      <name val="Arial"/>
      <family val="2"/>
    </font>
    <font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2"/>
      <color indexed="56"/>
      <name val="Arial"/>
      <family val="2"/>
    </font>
    <font>
      <b/>
      <i/>
      <sz val="14"/>
      <color indexed="9"/>
      <name val="Arial"/>
      <family val="2"/>
    </font>
    <font>
      <b/>
      <i/>
      <sz val="14"/>
      <color indexed="10"/>
      <name val="Arial"/>
      <family val="2"/>
    </font>
    <font>
      <sz val="18"/>
      <color indexed="8"/>
      <name val="Calibri"/>
      <family val="2"/>
    </font>
    <font>
      <b/>
      <sz val="12"/>
      <color indexed="9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z val="12"/>
      <color theme="0"/>
      <name val="Arial"/>
      <family val="2"/>
    </font>
    <font>
      <sz val="12"/>
      <color rgb="FF00206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b/>
      <i/>
      <sz val="14"/>
      <color theme="0"/>
      <name val="Arial"/>
      <family val="2"/>
    </font>
    <font>
      <b/>
      <i/>
      <sz val="14"/>
      <color rgb="FFFF0000"/>
      <name val="Arial"/>
      <family val="2"/>
    </font>
    <font>
      <sz val="18"/>
      <color rgb="FF000000"/>
      <name val="Calibri"/>
      <family val="2"/>
    </font>
    <font>
      <b/>
      <sz val="12"/>
      <color theme="0"/>
      <name val="Arial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 quotePrefix="1">
      <alignment horizontal="right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1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" fontId="0" fillId="0" borderId="1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Fill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1" fontId="0" fillId="0" borderId="12" xfId="0" applyNumberFormat="1" applyFont="1" applyBorder="1" applyAlignment="1">
      <alignment horizontal="center"/>
    </xf>
    <xf numFmtId="10" fontId="62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16" fontId="6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0" fontId="60" fillId="0" borderId="0" xfId="0" applyFont="1" applyBorder="1" applyAlignment="1">
      <alignment horizontal="center"/>
    </xf>
    <xf numFmtId="10" fontId="5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9" fontId="4" fillId="0" borderId="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0" fontId="0" fillId="33" borderId="10" xfId="0" applyNumberFormat="1" applyFont="1" applyFill="1" applyBorder="1" applyAlignment="1">
      <alignment/>
    </xf>
    <xf numFmtId="14" fontId="4" fillId="0" borderId="0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/>
    </xf>
    <xf numFmtId="0" fontId="0" fillId="33" borderId="10" xfId="0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10" fontId="4" fillId="0" borderId="0" xfId="59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Border="1" applyAlignment="1" quotePrefix="1">
      <alignment horizontal="right"/>
    </xf>
    <xf numFmtId="0" fontId="4" fillId="0" borderId="15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9" fontId="4" fillId="33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 quotePrefix="1">
      <alignment/>
    </xf>
    <xf numFmtId="165" fontId="0" fillId="0" borderId="16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left"/>
    </xf>
    <xf numFmtId="10" fontId="64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0" fontId="62" fillId="33" borderId="0" xfId="0" applyFont="1" applyFill="1" applyBorder="1" applyAlignment="1">
      <alignment horizontal="right"/>
    </xf>
    <xf numFmtId="0" fontId="65" fillId="33" borderId="0" xfId="0" applyFont="1" applyFill="1" applyBorder="1" applyAlignment="1">
      <alignment/>
    </xf>
    <xf numFmtId="165" fontId="64" fillId="33" borderId="10" xfId="0" applyNumberFormat="1" applyFont="1" applyFill="1" applyBorder="1" applyAlignment="1">
      <alignment horizontal="center"/>
    </xf>
    <xf numFmtId="1" fontId="64" fillId="33" borderId="10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/>
    </xf>
    <xf numFmtId="0" fontId="63" fillId="0" borderId="0" xfId="0" applyFont="1" applyBorder="1" applyAlignment="1">
      <alignment horizontal="left"/>
    </xf>
    <xf numFmtId="10" fontId="4" fillId="33" borderId="10" xfId="0" applyNumberFormat="1" applyFont="1" applyFill="1" applyBorder="1" applyAlignment="1">
      <alignment/>
    </xf>
    <xf numFmtId="165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 wrapText="1"/>
    </xf>
    <xf numFmtId="0" fontId="4" fillId="0" borderId="14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center"/>
    </xf>
    <xf numFmtId="10" fontId="0" fillId="33" borderId="12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0" fontId="4" fillId="0" borderId="15" xfId="0" applyNumberFormat="1" applyFont="1" applyBorder="1" applyAlignment="1">
      <alignment horizontal="center"/>
    </xf>
    <xf numFmtId="165" fontId="0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165" fontId="61" fillId="0" borderId="0" xfId="0" applyNumberFormat="1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4" fontId="11" fillId="0" borderId="0" xfId="0" applyNumberFormat="1" applyFont="1" applyBorder="1" applyAlignment="1">
      <alignment horizontal="center" wrapText="1"/>
    </xf>
    <xf numFmtId="0" fontId="6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center" wrapText="1"/>
    </xf>
    <xf numFmtId="14" fontId="13" fillId="0" borderId="0" xfId="0" applyNumberFormat="1" applyFont="1" applyBorder="1" applyAlignment="1">
      <alignment horizontal="right" wrapText="1"/>
    </xf>
    <xf numFmtId="165" fontId="69" fillId="33" borderId="10" xfId="0" applyNumberFormat="1" applyFont="1" applyFill="1" applyBorder="1" applyAlignment="1">
      <alignment horizontal="center"/>
    </xf>
    <xf numFmtId="14" fontId="13" fillId="0" borderId="0" xfId="0" applyNumberFormat="1" applyFont="1" applyBorder="1" applyAlignment="1">
      <alignment horizontal="center" wrapText="1"/>
    </xf>
    <xf numFmtId="0" fontId="0" fillId="33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33" borderId="14" xfId="0" applyNumberFormat="1" applyFont="1" applyFill="1" applyBorder="1" applyAlignment="1">
      <alignment horizontal="center"/>
    </xf>
    <xf numFmtId="16" fontId="0" fillId="0" borderId="14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0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64" fillId="33" borderId="10" xfId="0" applyNumberFormat="1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/>
    </xf>
    <xf numFmtId="10" fontId="4" fillId="0" borderId="13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16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10" fontId="4" fillId="34" borderId="10" xfId="0" applyNumberFormat="1" applyFont="1" applyFill="1" applyBorder="1" applyAlignment="1">
      <alignment/>
    </xf>
    <xf numFmtId="0" fontId="0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70" fillId="0" borderId="0" xfId="0" applyFont="1" applyBorder="1" applyAlignment="1">
      <alignment/>
    </xf>
    <xf numFmtId="0" fontId="63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6384" width="9.6640625" style="1" customWidth="1"/>
  </cols>
  <sheetData/>
  <sheetProtection/>
  <printOptions horizontalCentered="1"/>
  <pageMargins left="0.25" right="0.35" top="0.25" bottom="1.2" header="0" footer="0"/>
  <pageSetup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94"/>
  <sheetViews>
    <sheetView tabSelected="1" zoomScaleSheetLayoutView="100" workbookViewId="0" topLeftCell="A1">
      <selection activeCell="O8" sqref="O8"/>
    </sheetView>
  </sheetViews>
  <sheetFormatPr defaultColWidth="8.6640625" defaultRowHeight="16.5" customHeight="1"/>
  <cols>
    <col min="1" max="1" width="4.3359375" style="15" customWidth="1"/>
    <col min="2" max="2" width="24.77734375" style="2" customWidth="1"/>
    <col min="3" max="3" width="8.77734375" style="11" customWidth="1"/>
    <col min="4" max="4" width="8.3359375" style="11" bestFit="1" customWidth="1"/>
    <col min="5" max="5" width="12.10546875" style="11" customWidth="1"/>
    <col min="6" max="6" width="11.6640625" style="11" customWidth="1"/>
    <col min="7" max="7" width="10.5546875" style="2" customWidth="1"/>
    <col min="8" max="8" width="9.88671875" style="2" customWidth="1"/>
    <col min="9" max="9" width="7.3359375" style="2" customWidth="1"/>
    <col min="10" max="11" width="8.77734375" style="11" customWidth="1"/>
    <col min="12" max="12" width="6.21484375" style="2" customWidth="1"/>
    <col min="13" max="13" width="8.4453125" style="2" customWidth="1"/>
    <col min="14" max="14" width="9.10546875" style="2" customWidth="1"/>
    <col min="15" max="15" width="8.77734375" style="2" customWidth="1"/>
    <col min="16" max="16" width="8.6640625" style="2" customWidth="1"/>
    <col min="17" max="17" width="8.99609375" style="2" bestFit="1" customWidth="1"/>
    <col min="18" max="16384" width="8.6640625" style="2" customWidth="1"/>
  </cols>
  <sheetData>
    <row r="2" spans="3:8" ht="27.75" customHeight="1">
      <c r="C2" s="2"/>
      <c r="D2" s="2"/>
      <c r="E2" s="160" t="s">
        <v>662</v>
      </c>
      <c r="F2" s="161"/>
      <c r="G2" s="161"/>
      <c r="H2" s="161"/>
    </row>
    <row r="3" spans="1:8" ht="27.75" customHeight="1">
      <c r="A3" s="12"/>
      <c r="B3" s="129"/>
      <c r="C3" s="128"/>
      <c r="D3" s="128"/>
      <c r="E3" s="133" t="s">
        <v>661</v>
      </c>
      <c r="F3" s="135">
        <v>45134</v>
      </c>
      <c r="G3" s="128"/>
      <c r="H3" s="128"/>
    </row>
    <row r="4" spans="1:9" ht="16.5" customHeight="1">
      <c r="A4" s="14" t="s">
        <v>285</v>
      </c>
      <c r="D4" s="36"/>
      <c r="F4" s="3"/>
      <c r="G4" s="10"/>
      <c r="H4" s="71"/>
      <c r="I4" s="71"/>
    </row>
    <row r="5" spans="1:13" ht="16.5" customHeight="1">
      <c r="A5" s="14" t="s">
        <v>636</v>
      </c>
      <c r="H5" s="2" t="s">
        <v>0</v>
      </c>
      <c r="K5" s="2"/>
      <c r="M5" s="11"/>
    </row>
    <row r="6" spans="1:13" ht="16.5" customHeight="1">
      <c r="A6" s="14"/>
      <c r="K6" s="3" t="s">
        <v>627</v>
      </c>
      <c r="L6" s="11" t="s">
        <v>574</v>
      </c>
      <c r="M6" s="3" t="s">
        <v>652</v>
      </c>
    </row>
    <row r="7" spans="1:13" ht="16.5" customHeight="1">
      <c r="A7" s="15" t="s">
        <v>0</v>
      </c>
      <c r="B7" s="36"/>
      <c r="C7" s="8">
        <v>2023</v>
      </c>
      <c r="D7" s="4">
        <v>1</v>
      </c>
      <c r="E7" s="8" t="s">
        <v>547</v>
      </c>
      <c r="F7" s="3" t="s">
        <v>548</v>
      </c>
      <c r="G7" s="5" t="s">
        <v>550</v>
      </c>
      <c r="H7" s="6" t="s">
        <v>559</v>
      </c>
      <c r="I7" s="6"/>
      <c r="K7" s="3" t="s">
        <v>561</v>
      </c>
      <c r="L7" s="11" t="s">
        <v>575</v>
      </c>
      <c r="M7" s="3" t="s">
        <v>561</v>
      </c>
    </row>
    <row r="8" spans="3:13" ht="16.5" customHeight="1" thickBot="1">
      <c r="C8" s="8" t="s">
        <v>558</v>
      </c>
      <c r="D8" s="8" t="s">
        <v>546</v>
      </c>
      <c r="E8" s="81">
        <v>1</v>
      </c>
      <c r="F8" s="3" t="s">
        <v>643</v>
      </c>
      <c r="G8" s="5" t="s">
        <v>551</v>
      </c>
      <c r="H8" s="7" t="s">
        <v>558</v>
      </c>
      <c r="I8" s="3" t="s">
        <v>633</v>
      </c>
      <c r="J8" s="3" t="s">
        <v>556</v>
      </c>
      <c r="K8" s="3" t="s">
        <v>628</v>
      </c>
      <c r="L8" s="11" t="s">
        <v>576</v>
      </c>
      <c r="M8" s="3">
        <v>462</v>
      </c>
    </row>
    <row r="9" spans="1:13" ht="16.5" customHeight="1" thickBot="1">
      <c r="A9" s="15">
        <v>68</v>
      </c>
      <c r="B9" s="2" t="s">
        <v>608</v>
      </c>
      <c r="C9" s="73">
        <v>224</v>
      </c>
      <c r="D9" s="18">
        <f>SUM(C9*1)</f>
        <v>224</v>
      </c>
      <c r="E9" s="19">
        <f aca="true" t="shared" si="0" ref="E9:E19">SUM(D9-F9)</f>
        <v>21</v>
      </c>
      <c r="F9" s="73">
        <v>203</v>
      </c>
      <c r="G9" s="20">
        <v>45120</v>
      </c>
      <c r="H9" s="70">
        <f aca="true" t="shared" si="1" ref="H9:H19">SUM(F9/C9)</f>
        <v>0.90625</v>
      </c>
      <c r="I9" s="79">
        <v>2</v>
      </c>
      <c r="J9" s="79">
        <v>29</v>
      </c>
      <c r="K9" s="79">
        <v>4</v>
      </c>
      <c r="L9" s="46">
        <f>27+2+2</f>
        <v>31</v>
      </c>
      <c r="M9" s="64">
        <v>1</v>
      </c>
    </row>
    <row r="10" spans="1:13" ht="16.5" customHeight="1" thickBot="1">
      <c r="A10" s="15" t="s">
        <v>1</v>
      </c>
      <c r="B10" s="2" t="s">
        <v>609</v>
      </c>
      <c r="C10" s="73">
        <v>225</v>
      </c>
      <c r="D10" s="18">
        <f aca="true" t="shared" si="2" ref="D10:D19">SUM(C10*1)</f>
        <v>225</v>
      </c>
      <c r="E10" s="19">
        <f t="shared" si="0"/>
        <v>-5</v>
      </c>
      <c r="F10" s="73">
        <v>230</v>
      </c>
      <c r="G10" s="20">
        <v>45056</v>
      </c>
      <c r="H10" s="100">
        <f t="shared" si="1"/>
        <v>1.0222222222222221</v>
      </c>
      <c r="I10" s="79">
        <v>11</v>
      </c>
      <c r="J10" s="79">
        <v>14</v>
      </c>
      <c r="K10" s="104">
        <v>1</v>
      </c>
      <c r="L10" s="46">
        <v>15</v>
      </c>
      <c r="M10" s="64"/>
    </row>
    <row r="11" spans="1:13" ht="16.5" customHeight="1" thickBot="1">
      <c r="A11" s="15" t="s">
        <v>2</v>
      </c>
      <c r="B11" s="2" t="s">
        <v>610</v>
      </c>
      <c r="C11" s="17">
        <v>138</v>
      </c>
      <c r="D11" s="18">
        <f t="shared" si="2"/>
        <v>138</v>
      </c>
      <c r="E11" s="19">
        <f t="shared" si="0"/>
        <v>7</v>
      </c>
      <c r="F11" s="17">
        <v>131</v>
      </c>
      <c r="G11" s="20">
        <v>45022</v>
      </c>
      <c r="H11" s="70">
        <f t="shared" si="1"/>
        <v>0.9492753623188406</v>
      </c>
      <c r="I11" s="79">
        <v>4</v>
      </c>
      <c r="J11" s="79">
        <v>8</v>
      </c>
      <c r="K11" s="104"/>
      <c r="L11" s="46">
        <v>19</v>
      </c>
      <c r="M11" s="141"/>
    </row>
    <row r="12" spans="1:13" ht="16.5" customHeight="1" thickBot="1">
      <c r="A12" s="15" t="s">
        <v>3</v>
      </c>
      <c r="B12" s="2" t="s">
        <v>611</v>
      </c>
      <c r="C12" s="17">
        <v>290</v>
      </c>
      <c r="D12" s="18">
        <f t="shared" si="2"/>
        <v>290</v>
      </c>
      <c r="E12" s="19">
        <f t="shared" si="0"/>
        <v>32</v>
      </c>
      <c r="F12" s="17">
        <v>258</v>
      </c>
      <c r="G12" s="20">
        <v>45134</v>
      </c>
      <c r="H12" s="70">
        <f t="shared" si="1"/>
        <v>0.8896551724137931</v>
      </c>
      <c r="I12" s="79">
        <v>11</v>
      </c>
      <c r="J12" s="79">
        <v>37</v>
      </c>
      <c r="K12" s="104"/>
      <c r="L12" s="46">
        <f>25+1+2+1+3</f>
        <v>32</v>
      </c>
      <c r="M12" s="137"/>
    </row>
    <row r="13" spans="1:13" ht="16.5" customHeight="1" thickBot="1">
      <c r="A13" s="15" t="s">
        <v>4</v>
      </c>
      <c r="B13" s="2" t="s">
        <v>286</v>
      </c>
      <c r="C13" s="17">
        <v>181</v>
      </c>
      <c r="D13" s="18">
        <f t="shared" si="2"/>
        <v>181</v>
      </c>
      <c r="E13" s="19">
        <f t="shared" si="0"/>
        <v>14</v>
      </c>
      <c r="F13" s="17">
        <v>167</v>
      </c>
      <c r="G13" s="20">
        <v>45093</v>
      </c>
      <c r="H13" s="70">
        <f t="shared" si="1"/>
        <v>0.9226519337016574</v>
      </c>
      <c r="I13" s="79">
        <v>5</v>
      </c>
      <c r="J13" s="79">
        <v>15</v>
      </c>
      <c r="K13" s="104">
        <v>1</v>
      </c>
      <c r="L13" s="46">
        <f>22+2+1+1</f>
        <v>26</v>
      </c>
      <c r="M13" s="137"/>
    </row>
    <row r="14" spans="1:13" ht="16.5" customHeight="1" thickBot="1">
      <c r="A14" s="15" t="s">
        <v>5</v>
      </c>
      <c r="B14" s="2" t="s">
        <v>612</v>
      </c>
      <c r="C14" s="73">
        <v>22</v>
      </c>
      <c r="D14" s="18">
        <f t="shared" si="2"/>
        <v>22</v>
      </c>
      <c r="E14" s="19">
        <f t="shared" si="0"/>
        <v>1</v>
      </c>
      <c r="F14" s="73">
        <v>21</v>
      </c>
      <c r="G14" s="20">
        <v>45055</v>
      </c>
      <c r="H14" s="70">
        <f t="shared" si="1"/>
        <v>0.9545454545454546</v>
      </c>
      <c r="I14" s="79"/>
      <c r="J14" s="79">
        <v>5</v>
      </c>
      <c r="K14" s="104"/>
      <c r="L14" s="46">
        <f>2+1+1</f>
        <v>4</v>
      </c>
      <c r="M14" s="64"/>
    </row>
    <row r="15" spans="1:13" ht="16.5" customHeight="1" thickBot="1">
      <c r="A15" s="15" t="s">
        <v>6</v>
      </c>
      <c r="B15" s="2" t="s">
        <v>613</v>
      </c>
      <c r="C15" s="17">
        <v>76</v>
      </c>
      <c r="D15" s="18">
        <f t="shared" si="2"/>
        <v>76</v>
      </c>
      <c r="E15" s="19">
        <f t="shared" si="0"/>
        <v>5</v>
      </c>
      <c r="F15" s="17">
        <v>71</v>
      </c>
      <c r="G15" s="20">
        <v>44979</v>
      </c>
      <c r="H15" s="70">
        <f t="shared" si="1"/>
        <v>0.9342105263157895</v>
      </c>
      <c r="I15" s="79">
        <v>5</v>
      </c>
      <c r="J15" s="79">
        <v>5</v>
      </c>
      <c r="K15" s="104"/>
      <c r="L15" s="46">
        <v>12</v>
      </c>
      <c r="M15" s="64"/>
    </row>
    <row r="16" spans="1:13" ht="16.5" customHeight="1" thickBot="1">
      <c r="A16" s="15" t="s">
        <v>7</v>
      </c>
      <c r="B16" s="2" t="s">
        <v>287</v>
      </c>
      <c r="C16" s="73">
        <v>68</v>
      </c>
      <c r="D16" s="18">
        <f t="shared" si="2"/>
        <v>68</v>
      </c>
      <c r="E16" s="19">
        <f t="shared" si="0"/>
        <v>-1</v>
      </c>
      <c r="F16" s="73">
        <v>69</v>
      </c>
      <c r="G16" s="20">
        <v>45050</v>
      </c>
      <c r="H16" s="100">
        <f t="shared" si="1"/>
        <v>1.0147058823529411</v>
      </c>
      <c r="I16" s="79">
        <v>3</v>
      </c>
      <c r="J16" s="79">
        <v>11</v>
      </c>
      <c r="K16" s="104"/>
      <c r="L16" s="46">
        <f>6+1</f>
        <v>7</v>
      </c>
      <c r="M16" s="64"/>
    </row>
    <row r="17" spans="1:13" ht="16.5" customHeight="1" thickBot="1">
      <c r="A17" s="15" t="s">
        <v>8</v>
      </c>
      <c r="B17" s="2" t="s">
        <v>614</v>
      </c>
      <c r="C17" s="17">
        <v>24</v>
      </c>
      <c r="D17" s="18">
        <f t="shared" si="2"/>
        <v>24</v>
      </c>
      <c r="E17" s="19">
        <f t="shared" si="0"/>
        <v>0</v>
      </c>
      <c r="F17" s="17">
        <v>24</v>
      </c>
      <c r="G17" s="20">
        <v>44902</v>
      </c>
      <c r="H17" s="100">
        <f t="shared" si="1"/>
        <v>1</v>
      </c>
      <c r="I17" s="79">
        <v>2</v>
      </c>
      <c r="J17" s="79">
        <v>3</v>
      </c>
      <c r="K17" s="104"/>
      <c r="L17" s="46">
        <v>4</v>
      </c>
      <c r="M17" s="110"/>
    </row>
    <row r="18" spans="1:13" ht="16.5" customHeight="1" thickBot="1">
      <c r="A18" s="15" t="s">
        <v>9</v>
      </c>
      <c r="B18" s="2" t="s">
        <v>615</v>
      </c>
      <c r="C18" s="17">
        <v>30</v>
      </c>
      <c r="D18" s="18">
        <f t="shared" si="2"/>
        <v>30</v>
      </c>
      <c r="E18" s="19">
        <f t="shared" si="0"/>
        <v>6</v>
      </c>
      <c r="F18" s="17">
        <v>24</v>
      </c>
      <c r="G18" s="20">
        <v>45036</v>
      </c>
      <c r="H18" s="70">
        <f t="shared" si="1"/>
        <v>0.8</v>
      </c>
      <c r="I18" s="79"/>
      <c r="J18" s="79">
        <v>4</v>
      </c>
      <c r="K18" s="104"/>
      <c r="L18" s="46">
        <v>1</v>
      </c>
      <c r="M18" s="64"/>
    </row>
    <row r="19" spans="1:13" ht="16.5" customHeight="1" thickBot="1">
      <c r="A19" s="15" t="s">
        <v>10</v>
      </c>
      <c r="B19" s="33" t="s">
        <v>600</v>
      </c>
      <c r="C19" s="46">
        <v>26</v>
      </c>
      <c r="D19" s="18">
        <f t="shared" si="2"/>
        <v>26</v>
      </c>
      <c r="E19" s="68">
        <f t="shared" si="0"/>
        <v>1</v>
      </c>
      <c r="F19" s="46">
        <v>25</v>
      </c>
      <c r="G19" s="20">
        <v>45050</v>
      </c>
      <c r="H19" s="70">
        <f t="shared" si="1"/>
        <v>0.9615384615384616</v>
      </c>
      <c r="I19" s="79"/>
      <c r="J19" s="79">
        <v>4</v>
      </c>
      <c r="K19" s="104"/>
      <c r="L19" s="46">
        <f>1+1+1</f>
        <v>3</v>
      </c>
      <c r="M19" s="110"/>
    </row>
    <row r="20" spans="1:13" ht="16.5" customHeight="1">
      <c r="A20" s="2"/>
      <c r="C20" s="52"/>
      <c r="E20" s="22"/>
      <c r="G20" s="23"/>
      <c r="H20" s="24"/>
      <c r="I20" s="11"/>
      <c r="K20" s="2"/>
      <c r="M20" s="10"/>
    </row>
    <row r="21" spans="2:13" ht="16.5" customHeight="1" thickBot="1">
      <c r="B21" s="14" t="s">
        <v>647</v>
      </c>
      <c r="C21" s="125">
        <v>26</v>
      </c>
      <c r="E21" s="22"/>
      <c r="G21" s="23"/>
      <c r="H21" s="24"/>
      <c r="I21" s="11"/>
      <c r="K21" s="2"/>
      <c r="M21" s="10"/>
    </row>
    <row r="22" spans="2:13" ht="16.5" customHeight="1" thickBot="1">
      <c r="B22" s="15" t="s">
        <v>288</v>
      </c>
      <c r="C22" s="17">
        <f>SUM(C9:C21)</f>
        <v>1330</v>
      </c>
      <c r="D22" s="18">
        <f>SUM(C22*1)</f>
        <v>1330</v>
      </c>
      <c r="E22" s="19">
        <f>SUM(D22-F22)</f>
        <v>107</v>
      </c>
      <c r="F22" s="17">
        <f>SUM(F9:F19)</f>
        <v>1223</v>
      </c>
      <c r="G22" s="20"/>
      <c r="H22" s="21">
        <f>SUM(F22/C22)</f>
        <v>0.9195488721804511</v>
      </c>
      <c r="I22" s="79">
        <f>SUM(I9:I19)</f>
        <v>43</v>
      </c>
      <c r="J22" s="79">
        <f>SUM(J9:J19)</f>
        <v>135</v>
      </c>
      <c r="K22" s="110">
        <f>SUM(K9:K19)</f>
        <v>6</v>
      </c>
      <c r="L22" s="64">
        <f>SUM(L9:L19)</f>
        <v>154</v>
      </c>
      <c r="M22" s="64">
        <f>SUM(M9:M19)</f>
        <v>1</v>
      </c>
    </row>
    <row r="23" spans="1:11" ht="16.5" customHeight="1">
      <c r="A23" s="84" t="s">
        <v>674</v>
      </c>
      <c r="B23" s="10"/>
      <c r="D23" s="22"/>
      <c r="G23" s="23"/>
      <c r="I23" s="11"/>
      <c r="K23" s="2"/>
    </row>
    <row r="24" spans="1:11" ht="16.5" customHeight="1">
      <c r="A24" s="14"/>
      <c r="B24" s="2" t="s">
        <v>557</v>
      </c>
      <c r="C24" s="10"/>
      <c r="D24" s="53"/>
      <c r="E24" s="10"/>
      <c r="F24" s="3"/>
      <c r="G24" s="5"/>
      <c r="I24" s="11"/>
      <c r="K24" s="2"/>
    </row>
    <row r="25" spans="1:11" ht="16.5" customHeight="1">
      <c r="A25" s="2"/>
      <c r="C25" s="10"/>
      <c r="D25" s="53"/>
      <c r="E25" s="10"/>
      <c r="F25" s="10"/>
      <c r="G25" s="47"/>
      <c r="H25" s="10"/>
      <c r="J25" s="2"/>
      <c r="K25" s="2"/>
    </row>
    <row r="26" spans="1:11" ht="16.5" customHeight="1">
      <c r="A26" s="2"/>
      <c r="C26" s="10"/>
      <c r="D26" s="53"/>
      <c r="E26" s="10"/>
      <c r="F26" s="2"/>
      <c r="G26" s="29"/>
      <c r="J26" s="2"/>
      <c r="K26" s="2"/>
    </row>
    <row r="27" spans="1:11" ht="16.5" customHeight="1">
      <c r="A27" s="2"/>
      <c r="C27" s="10"/>
      <c r="D27" s="53"/>
      <c r="E27" s="10"/>
      <c r="F27" s="2"/>
      <c r="G27" s="29"/>
      <c r="J27" s="2"/>
      <c r="K27" s="2"/>
    </row>
    <row r="28" spans="1:11" ht="16.5" customHeight="1">
      <c r="A28" s="2"/>
      <c r="C28" s="2"/>
      <c r="D28" s="30"/>
      <c r="E28" s="2"/>
      <c r="F28" s="2"/>
      <c r="G28" s="29"/>
      <c r="J28" s="2"/>
      <c r="K28" s="2"/>
    </row>
    <row r="29" spans="1:11" ht="16.5" customHeight="1">
      <c r="A29" s="2"/>
      <c r="B29" s="2" t="s">
        <v>557</v>
      </c>
      <c r="C29" s="2"/>
      <c r="D29" s="30"/>
      <c r="E29" s="2"/>
      <c r="F29" s="2"/>
      <c r="G29" s="29"/>
      <c r="J29" s="2"/>
      <c r="K29" s="2"/>
    </row>
    <row r="30" spans="1:11" ht="16.5" customHeight="1">
      <c r="A30" s="2"/>
      <c r="C30" s="2"/>
      <c r="D30" s="2"/>
      <c r="E30" s="2"/>
      <c r="F30" s="2"/>
      <c r="G30" s="29"/>
      <c r="J30" s="2"/>
      <c r="K30" s="2"/>
    </row>
    <row r="31" spans="1:11" ht="16.5" customHeight="1">
      <c r="A31" s="14" t="s">
        <v>289</v>
      </c>
      <c r="F31" s="3"/>
      <c r="G31" s="23" t="s">
        <v>552</v>
      </c>
      <c r="H31" s="77">
        <f>F3</f>
        <v>45134</v>
      </c>
      <c r="I31" s="11"/>
      <c r="K31" s="2"/>
    </row>
    <row r="32" spans="1:13" ht="16.5" customHeight="1">
      <c r="A32" s="14" t="s">
        <v>637</v>
      </c>
      <c r="G32" s="23" t="s">
        <v>552</v>
      </c>
      <c r="H32" s="24"/>
      <c r="I32" s="11"/>
      <c r="K32" s="2"/>
      <c r="L32" s="11"/>
      <c r="M32" s="11"/>
    </row>
    <row r="33" spans="1:13" ht="16.5" customHeight="1">
      <c r="A33" s="14"/>
      <c r="G33" s="23"/>
      <c r="H33" s="24"/>
      <c r="I33" s="11"/>
      <c r="K33" s="3" t="s">
        <v>627</v>
      </c>
      <c r="L33" s="11" t="s">
        <v>577</v>
      </c>
      <c r="M33" s="3" t="s">
        <v>652</v>
      </c>
    </row>
    <row r="34" spans="1:13" ht="16.5" customHeight="1">
      <c r="A34" s="14"/>
      <c r="C34" s="8">
        <f>C7</f>
        <v>2023</v>
      </c>
      <c r="D34" s="4">
        <f>D7</f>
        <v>1</v>
      </c>
      <c r="E34" s="8" t="s">
        <v>547</v>
      </c>
      <c r="F34" s="3" t="s">
        <v>548</v>
      </c>
      <c r="G34" s="5" t="s">
        <v>550</v>
      </c>
      <c r="H34" s="6" t="s">
        <v>559</v>
      </c>
      <c r="I34" s="11"/>
      <c r="K34" s="3" t="s">
        <v>561</v>
      </c>
      <c r="L34" s="11" t="s">
        <v>578</v>
      </c>
      <c r="M34" s="3" t="s">
        <v>561</v>
      </c>
    </row>
    <row r="35" spans="1:13" ht="16.5" customHeight="1" thickBot="1">
      <c r="A35" s="2"/>
      <c r="C35" s="8" t="s">
        <v>558</v>
      </c>
      <c r="D35" s="8" t="s">
        <v>546</v>
      </c>
      <c r="E35" s="4">
        <f>E8</f>
        <v>1</v>
      </c>
      <c r="F35" s="3" t="str">
        <f>F8</f>
        <v>2023 MEMB</v>
      </c>
      <c r="G35" s="5" t="s">
        <v>551</v>
      </c>
      <c r="H35" s="7" t="s">
        <v>558</v>
      </c>
      <c r="I35" s="3" t="str">
        <f>I8</f>
        <v>NEW</v>
      </c>
      <c r="J35" s="3" t="s">
        <v>556</v>
      </c>
      <c r="K35" s="3" t="s">
        <v>628</v>
      </c>
      <c r="L35" s="11" t="s">
        <v>576</v>
      </c>
      <c r="M35" s="3">
        <v>462</v>
      </c>
    </row>
    <row r="36" spans="1:13" ht="16.5" customHeight="1" thickBot="1">
      <c r="A36" s="154" t="s">
        <v>11</v>
      </c>
      <c r="B36" s="2" t="s">
        <v>290</v>
      </c>
      <c r="C36" s="73">
        <v>53</v>
      </c>
      <c r="D36" s="18">
        <f>SUM(C36*1)</f>
        <v>53</v>
      </c>
      <c r="E36" s="19">
        <f aca="true" t="shared" si="3" ref="E36:E50">SUM(D36-F36)</f>
        <v>-10</v>
      </c>
      <c r="F36" s="73">
        <v>63</v>
      </c>
      <c r="G36" s="20">
        <v>45106</v>
      </c>
      <c r="H36" s="151">
        <f aca="true" t="shared" si="4" ref="H36:H50">SUM(F36/C36)</f>
        <v>1.1886792452830188</v>
      </c>
      <c r="I36" s="79">
        <v>11</v>
      </c>
      <c r="J36" s="79">
        <v>12</v>
      </c>
      <c r="K36" s="79">
        <v>2</v>
      </c>
      <c r="L36" s="46">
        <f>10+1+1</f>
        <v>12</v>
      </c>
      <c r="M36" s="138"/>
    </row>
    <row r="37" spans="1:13" ht="16.5" customHeight="1" thickBot="1">
      <c r="A37" s="15" t="s">
        <v>12</v>
      </c>
      <c r="B37" s="2" t="s">
        <v>602</v>
      </c>
      <c r="C37" s="73">
        <v>113</v>
      </c>
      <c r="D37" s="18">
        <f aca="true" t="shared" si="5" ref="D37:D50">SUM(C37*1)</f>
        <v>113</v>
      </c>
      <c r="E37" s="19">
        <f t="shared" si="3"/>
        <v>10</v>
      </c>
      <c r="F37" s="73">
        <v>103</v>
      </c>
      <c r="G37" s="20">
        <v>45106</v>
      </c>
      <c r="H37" s="70">
        <f t="shared" si="4"/>
        <v>0.911504424778761</v>
      </c>
      <c r="I37" s="79"/>
      <c r="J37" s="79">
        <v>18</v>
      </c>
      <c r="K37" s="104">
        <v>4</v>
      </c>
      <c r="L37" s="46">
        <f>8+1</f>
        <v>9</v>
      </c>
      <c r="M37" s="64"/>
    </row>
    <row r="38" spans="1:13" ht="16.5" customHeight="1" thickBot="1">
      <c r="A38" s="15" t="s">
        <v>13</v>
      </c>
      <c r="B38" s="2" t="s">
        <v>603</v>
      </c>
      <c r="C38" s="73">
        <v>114</v>
      </c>
      <c r="D38" s="18">
        <f t="shared" si="5"/>
        <v>114</v>
      </c>
      <c r="E38" s="19">
        <f t="shared" si="3"/>
        <v>15</v>
      </c>
      <c r="F38" s="73">
        <v>99</v>
      </c>
      <c r="G38" s="20">
        <v>45050</v>
      </c>
      <c r="H38" s="70">
        <f t="shared" si="4"/>
        <v>0.868421052631579</v>
      </c>
      <c r="I38" s="79">
        <v>2</v>
      </c>
      <c r="J38" s="79">
        <v>2</v>
      </c>
      <c r="K38" s="104">
        <v>1</v>
      </c>
      <c r="L38" s="46">
        <f>12+2+2</f>
        <v>16</v>
      </c>
      <c r="M38" s="64">
        <v>1</v>
      </c>
    </row>
    <row r="39" spans="1:13" ht="16.5" customHeight="1" thickBot="1">
      <c r="A39" s="15" t="s">
        <v>14</v>
      </c>
      <c r="B39" s="2" t="s">
        <v>291</v>
      </c>
      <c r="C39" s="73">
        <v>45</v>
      </c>
      <c r="D39" s="18">
        <f t="shared" si="5"/>
        <v>45</v>
      </c>
      <c r="E39" s="19">
        <f t="shared" si="3"/>
        <v>0</v>
      </c>
      <c r="F39" s="73">
        <v>45</v>
      </c>
      <c r="G39" s="20">
        <v>45055</v>
      </c>
      <c r="H39" s="100">
        <f t="shared" si="4"/>
        <v>1</v>
      </c>
      <c r="I39" s="79">
        <v>2</v>
      </c>
      <c r="J39" s="79">
        <v>10</v>
      </c>
      <c r="K39" s="104"/>
      <c r="L39" s="46">
        <f>3+1+2</f>
        <v>6</v>
      </c>
      <c r="M39" s="64"/>
    </row>
    <row r="40" spans="1:13" ht="16.5" customHeight="1" thickBot="1">
      <c r="A40" s="15" t="s">
        <v>15</v>
      </c>
      <c r="B40" s="2" t="s">
        <v>292</v>
      </c>
      <c r="C40" s="73">
        <v>33</v>
      </c>
      <c r="D40" s="18">
        <f t="shared" si="5"/>
        <v>33</v>
      </c>
      <c r="E40" s="19">
        <f t="shared" si="3"/>
        <v>5</v>
      </c>
      <c r="F40" s="73">
        <v>28</v>
      </c>
      <c r="G40" s="20">
        <v>45063</v>
      </c>
      <c r="H40" s="70">
        <f t="shared" si="4"/>
        <v>0.8484848484848485</v>
      </c>
      <c r="I40" s="79"/>
      <c r="J40" s="79">
        <v>7</v>
      </c>
      <c r="K40" s="104"/>
      <c r="L40" s="46">
        <v>6</v>
      </c>
      <c r="M40" s="64"/>
    </row>
    <row r="41" spans="1:13" ht="16.5" customHeight="1" thickBot="1">
      <c r="A41" s="15">
        <v>172</v>
      </c>
      <c r="B41" s="2" t="s">
        <v>293</v>
      </c>
      <c r="C41" s="73">
        <v>210</v>
      </c>
      <c r="D41" s="18">
        <f t="shared" si="5"/>
        <v>210</v>
      </c>
      <c r="E41" s="19">
        <f t="shared" si="3"/>
        <v>7</v>
      </c>
      <c r="F41" s="73">
        <v>203</v>
      </c>
      <c r="G41" s="20">
        <v>45134</v>
      </c>
      <c r="H41" s="70">
        <f t="shared" si="4"/>
        <v>0.9666666666666667</v>
      </c>
      <c r="I41" s="79">
        <v>13</v>
      </c>
      <c r="J41" s="79">
        <v>25</v>
      </c>
      <c r="K41" s="104">
        <v>2</v>
      </c>
      <c r="L41" s="46">
        <f>27+1+1+1</f>
        <v>30</v>
      </c>
      <c r="M41" s="137"/>
    </row>
    <row r="42" spans="1:13" ht="16.5" customHeight="1" thickBot="1">
      <c r="A42" s="15" t="s">
        <v>16</v>
      </c>
      <c r="B42" s="2" t="s">
        <v>604</v>
      </c>
      <c r="C42" s="73">
        <v>245</v>
      </c>
      <c r="D42" s="18">
        <f t="shared" si="5"/>
        <v>245</v>
      </c>
      <c r="E42" s="19">
        <f t="shared" si="3"/>
        <v>42</v>
      </c>
      <c r="F42" s="73">
        <v>203</v>
      </c>
      <c r="G42" s="20">
        <v>45134</v>
      </c>
      <c r="H42" s="70">
        <f t="shared" si="4"/>
        <v>0.8285714285714286</v>
      </c>
      <c r="I42" s="79">
        <v>2</v>
      </c>
      <c r="J42" s="79">
        <v>23</v>
      </c>
      <c r="K42" s="111">
        <v>1</v>
      </c>
      <c r="L42" s="46">
        <f>23+2+1+2+1</f>
        <v>29</v>
      </c>
      <c r="M42" s="64"/>
    </row>
    <row r="43" spans="1:13" ht="16.5" customHeight="1" thickBot="1">
      <c r="A43" s="15" t="s">
        <v>17</v>
      </c>
      <c r="B43" s="2" t="s">
        <v>605</v>
      </c>
      <c r="C43" s="73">
        <v>64</v>
      </c>
      <c r="D43" s="18">
        <f t="shared" si="5"/>
        <v>64</v>
      </c>
      <c r="E43" s="19">
        <f t="shared" si="3"/>
        <v>1</v>
      </c>
      <c r="F43" s="73">
        <v>63</v>
      </c>
      <c r="G43" s="20">
        <v>45055</v>
      </c>
      <c r="H43" s="70">
        <f t="shared" si="4"/>
        <v>0.984375</v>
      </c>
      <c r="I43" s="79">
        <v>5</v>
      </c>
      <c r="J43" s="79">
        <v>3</v>
      </c>
      <c r="K43" s="104">
        <v>4</v>
      </c>
      <c r="L43" s="46">
        <f>7+1</f>
        <v>8</v>
      </c>
      <c r="M43" s="64"/>
    </row>
    <row r="44" spans="1:13" ht="16.5" customHeight="1" thickBot="1">
      <c r="A44" s="15" t="s">
        <v>18</v>
      </c>
      <c r="B44" s="2" t="s">
        <v>606</v>
      </c>
      <c r="C44" s="73">
        <v>57</v>
      </c>
      <c r="D44" s="18">
        <f t="shared" si="5"/>
        <v>57</v>
      </c>
      <c r="E44" s="19">
        <f t="shared" si="3"/>
        <v>3</v>
      </c>
      <c r="F44" s="73">
        <v>54</v>
      </c>
      <c r="G44" s="20">
        <v>45029</v>
      </c>
      <c r="H44" s="70">
        <f t="shared" si="4"/>
        <v>0.9473684210526315</v>
      </c>
      <c r="I44" s="79"/>
      <c r="J44" s="79">
        <v>15</v>
      </c>
      <c r="K44" s="104">
        <v>2</v>
      </c>
      <c r="L44" s="46">
        <v>8</v>
      </c>
      <c r="M44" s="64"/>
    </row>
    <row r="45" spans="1:17" ht="16.5" customHeight="1" thickBot="1">
      <c r="A45" s="15" t="s">
        <v>19</v>
      </c>
      <c r="B45" s="2" t="s">
        <v>294</v>
      </c>
      <c r="C45" s="73">
        <v>44</v>
      </c>
      <c r="D45" s="18">
        <f t="shared" si="5"/>
        <v>44</v>
      </c>
      <c r="E45" s="19">
        <f t="shared" si="3"/>
        <v>5</v>
      </c>
      <c r="F45" s="73">
        <v>39</v>
      </c>
      <c r="G45" s="20">
        <v>45007</v>
      </c>
      <c r="H45" s="70">
        <f t="shared" si="4"/>
        <v>0.8863636363636364</v>
      </c>
      <c r="I45" s="79">
        <v>1</v>
      </c>
      <c r="J45" s="79">
        <v>2</v>
      </c>
      <c r="K45" s="104"/>
      <c r="L45" s="46">
        <f>1+1</f>
        <v>2</v>
      </c>
      <c r="M45" s="64"/>
      <c r="Q45" s="11"/>
    </row>
    <row r="46" spans="1:17" ht="16.5" customHeight="1" thickBot="1">
      <c r="A46" s="154" t="s">
        <v>20</v>
      </c>
      <c r="B46" s="2" t="s">
        <v>607</v>
      </c>
      <c r="C46" s="73">
        <v>54</v>
      </c>
      <c r="D46" s="18">
        <f t="shared" si="5"/>
        <v>54</v>
      </c>
      <c r="E46" s="19">
        <f t="shared" si="3"/>
        <v>-3</v>
      </c>
      <c r="F46" s="73">
        <v>57</v>
      </c>
      <c r="G46" s="20">
        <v>45134</v>
      </c>
      <c r="H46" s="151">
        <f t="shared" si="4"/>
        <v>1.0555555555555556</v>
      </c>
      <c r="I46" s="79">
        <v>1</v>
      </c>
      <c r="J46" s="79">
        <v>7</v>
      </c>
      <c r="K46" s="104">
        <v>2</v>
      </c>
      <c r="L46" s="46">
        <v>6</v>
      </c>
      <c r="M46" s="64"/>
      <c r="Q46" s="11"/>
    </row>
    <row r="47" spans="1:17" ht="16.5" customHeight="1" thickBot="1">
      <c r="A47" s="154" t="s">
        <v>21</v>
      </c>
      <c r="B47" s="2" t="s">
        <v>295</v>
      </c>
      <c r="C47" s="73">
        <v>146</v>
      </c>
      <c r="D47" s="18">
        <f t="shared" si="5"/>
        <v>146</v>
      </c>
      <c r="E47" s="19">
        <f t="shared" si="3"/>
        <v>-21</v>
      </c>
      <c r="F47" s="73">
        <v>167</v>
      </c>
      <c r="G47" s="20">
        <v>45050</v>
      </c>
      <c r="H47" s="100">
        <f t="shared" si="4"/>
        <v>1.143835616438356</v>
      </c>
      <c r="I47" s="79">
        <v>17</v>
      </c>
      <c r="J47" s="79">
        <v>7</v>
      </c>
      <c r="K47" s="104">
        <v>6</v>
      </c>
      <c r="L47" s="46">
        <f>42+3+1</f>
        <v>46</v>
      </c>
      <c r="M47" s="64"/>
      <c r="Q47" s="11"/>
    </row>
    <row r="48" spans="1:17" ht="16.5" customHeight="1" thickBot="1">
      <c r="A48" s="136" t="s">
        <v>22</v>
      </c>
      <c r="B48" s="2" t="s">
        <v>296</v>
      </c>
      <c r="C48" s="73">
        <v>64</v>
      </c>
      <c r="D48" s="18">
        <f t="shared" si="5"/>
        <v>64</v>
      </c>
      <c r="E48" s="19">
        <f t="shared" si="3"/>
        <v>5</v>
      </c>
      <c r="F48" s="73">
        <v>59</v>
      </c>
      <c r="G48" s="20">
        <v>45063</v>
      </c>
      <c r="H48" s="70">
        <f t="shared" si="4"/>
        <v>0.921875</v>
      </c>
      <c r="I48" s="79">
        <v>1</v>
      </c>
      <c r="J48" s="79">
        <v>11</v>
      </c>
      <c r="K48" s="104"/>
      <c r="L48" s="46">
        <f>3+1</f>
        <v>4</v>
      </c>
      <c r="M48" s="64"/>
      <c r="Q48" s="35"/>
    </row>
    <row r="49" spans="1:17" ht="16.5" customHeight="1" thickBot="1">
      <c r="A49" s="154" t="s">
        <v>23</v>
      </c>
      <c r="B49" s="2" t="s">
        <v>297</v>
      </c>
      <c r="C49" s="73">
        <v>15</v>
      </c>
      <c r="D49" s="18">
        <f t="shared" si="5"/>
        <v>15</v>
      </c>
      <c r="E49" s="19">
        <f t="shared" si="3"/>
        <v>-2</v>
      </c>
      <c r="F49" s="73">
        <v>17</v>
      </c>
      <c r="G49" s="20">
        <v>45093</v>
      </c>
      <c r="H49" s="151">
        <f t="shared" si="4"/>
        <v>1.1333333333333333</v>
      </c>
      <c r="I49" s="79">
        <v>3</v>
      </c>
      <c r="J49" s="79">
        <v>6</v>
      </c>
      <c r="K49" s="104"/>
      <c r="L49" s="46">
        <v>0</v>
      </c>
      <c r="M49" s="64"/>
      <c r="Q49" s="35"/>
    </row>
    <row r="50" spans="1:17" ht="16.5" customHeight="1" thickBot="1">
      <c r="A50" s="15" t="s">
        <v>24</v>
      </c>
      <c r="B50" s="2" t="s">
        <v>298</v>
      </c>
      <c r="C50" s="73">
        <v>73</v>
      </c>
      <c r="D50" s="18">
        <f t="shared" si="5"/>
        <v>73</v>
      </c>
      <c r="E50" s="19">
        <f t="shared" si="3"/>
        <v>4</v>
      </c>
      <c r="F50" s="73">
        <v>69</v>
      </c>
      <c r="G50" s="20">
        <v>45106</v>
      </c>
      <c r="H50" s="70">
        <f t="shared" si="4"/>
        <v>0.9452054794520548</v>
      </c>
      <c r="I50" s="79">
        <v>1</v>
      </c>
      <c r="J50" s="79">
        <v>8</v>
      </c>
      <c r="K50" s="104">
        <v>1</v>
      </c>
      <c r="L50" s="46">
        <f>11+2+1+1</f>
        <v>15</v>
      </c>
      <c r="M50" s="64"/>
      <c r="Q50" s="35"/>
    </row>
    <row r="51" spans="1:17" ht="16.5" customHeight="1">
      <c r="A51" s="2"/>
      <c r="C51" s="22"/>
      <c r="D51" s="28"/>
      <c r="E51" s="22"/>
      <c r="F51" s="23" t="s">
        <v>581</v>
      </c>
      <c r="G51" s="23"/>
      <c r="H51" s="24"/>
      <c r="I51" s="11"/>
      <c r="K51" s="33"/>
      <c r="L51" s="33"/>
      <c r="Q51" s="35"/>
    </row>
    <row r="52" spans="2:17" ht="16.5" customHeight="1" thickBot="1">
      <c r="B52" s="14" t="s">
        <v>648</v>
      </c>
      <c r="C52" s="126">
        <v>27</v>
      </c>
      <c r="D52" s="86"/>
      <c r="E52" s="22"/>
      <c r="G52" s="23"/>
      <c r="H52" s="24"/>
      <c r="I52" s="11"/>
      <c r="K52" s="2"/>
      <c r="Q52" s="35"/>
    </row>
    <row r="53" spans="2:17" ht="16.5" customHeight="1" thickBot="1">
      <c r="B53" s="15" t="s">
        <v>288</v>
      </c>
      <c r="C53" s="18">
        <f>SUM(C36:C52)</f>
        <v>1357</v>
      </c>
      <c r="D53" s="18">
        <f>SUM(C53*1)</f>
        <v>1357</v>
      </c>
      <c r="E53" s="19">
        <f>SUM(D53-F53)</f>
        <v>88</v>
      </c>
      <c r="F53" s="17">
        <f>SUM(F36:F50)</f>
        <v>1269</v>
      </c>
      <c r="G53" s="20"/>
      <c r="H53" s="70">
        <f>SUM(F53/C53)</f>
        <v>0.9351510685335298</v>
      </c>
      <c r="I53" s="79">
        <f>SUM(I36:I50)</f>
        <v>59</v>
      </c>
      <c r="J53" s="79">
        <f>SUM(J36:J50)</f>
        <v>156</v>
      </c>
      <c r="K53" s="79">
        <f>SUM(K36:K50)</f>
        <v>25</v>
      </c>
      <c r="L53" s="17">
        <f>SUM(L36:L50)</f>
        <v>197</v>
      </c>
      <c r="M53" s="64">
        <f>SUM(M36:M50)</f>
        <v>1</v>
      </c>
      <c r="Q53" s="35"/>
    </row>
    <row r="54" spans="1:17" ht="16.5" customHeight="1">
      <c r="A54" s="84" t="str">
        <f>A23</f>
        <v> TARGET DATE : 05/17/2023    100%</v>
      </c>
      <c r="B54" s="48"/>
      <c r="C54" s="22"/>
      <c r="D54" s="22"/>
      <c r="E54" s="22"/>
      <c r="G54" s="23"/>
      <c r="H54" s="24"/>
      <c r="I54" s="11"/>
      <c r="K54" s="2"/>
      <c r="Q54" s="35"/>
    </row>
    <row r="55" spans="1:17" ht="16.5" customHeight="1">
      <c r="A55" s="14"/>
      <c r="B55" s="10" t="s">
        <v>0</v>
      </c>
      <c r="C55" s="8"/>
      <c r="D55" s="53"/>
      <c r="E55" s="10"/>
      <c r="F55" s="3"/>
      <c r="G55" s="5"/>
      <c r="I55" s="11"/>
      <c r="K55" s="2"/>
      <c r="M55" s="53"/>
      <c r="N55" s="23"/>
      <c r="Q55" s="35"/>
    </row>
    <row r="56" spans="1:17" ht="16.5" customHeight="1">
      <c r="A56" s="14"/>
      <c r="C56" s="22"/>
      <c r="D56" s="22"/>
      <c r="E56" s="22"/>
      <c r="G56" s="23"/>
      <c r="H56" s="24"/>
      <c r="I56" s="11"/>
      <c r="K56" s="2"/>
      <c r="Q56" s="35"/>
    </row>
    <row r="57" spans="1:17" ht="16.5" customHeight="1">
      <c r="A57" s="14"/>
      <c r="B57" s="33"/>
      <c r="C57" s="22"/>
      <c r="D57" s="22"/>
      <c r="E57" s="22"/>
      <c r="G57" s="23"/>
      <c r="H57" s="24"/>
      <c r="I57" s="11"/>
      <c r="J57" s="11" t="s">
        <v>557</v>
      </c>
      <c r="K57" s="2"/>
      <c r="Q57" s="35"/>
    </row>
    <row r="58" spans="1:17" ht="16.5" customHeight="1">
      <c r="A58" s="14"/>
      <c r="B58" s="33"/>
      <c r="C58" s="22"/>
      <c r="D58" s="22"/>
      <c r="E58" s="22"/>
      <c r="G58" s="23"/>
      <c r="H58" s="24"/>
      <c r="I58" s="11"/>
      <c r="K58" s="2"/>
      <c r="Q58" s="35"/>
    </row>
    <row r="59" spans="1:17" ht="16.5" customHeight="1">
      <c r="A59" s="14"/>
      <c r="B59" s="33" t="s">
        <v>557</v>
      </c>
      <c r="C59" s="22"/>
      <c r="D59" s="22"/>
      <c r="E59" s="22"/>
      <c r="G59" s="23"/>
      <c r="H59" s="24"/>
      <c r="I59" s="11"/>
      <c r="K59" s="2"/>
      <c r="Q59" s="35"/>
    </row>
    <row r="60" spans="2:17" ht="16.5" customHeight="1">
      <c r="B60" s="26"/>
      <c r="C60" s="22"/>
      <c r="D60" s="22"/>
      <c r="E60" s="22"/>
      <c r="G60" s="25"/>
      <c r="I60" s="11"/>
      <c r="K60" s="2"/>
      <c r="Q60" s="35"/>
    </row>
    <row r="61" spans="1:17" ht="16.5" customHeight="1">
      <c r="A61" s="2" t="s">
        <v>299</v>
      </c>
      <c r="C61" s="22"/>
      <c r="D61" s="22"/>
      <c r="E61" s="22"/>
      <c r="G61" s="23"/>
      <c r="H61" s="77">
        <f>F3</f>
        <v>45134</v>
      </c>
      <c r="I61" s="11"/>
      <c r="K61" s="2"/>
      <c r="Q61" s="35"/>
    </row>
    <row r="62" spans="1:17" ht="16.5" customHeight="1">
      <c r="A62" s="14" t="s">
        <v>646</v>
      </c>
      <c r="C62" s="22"/>
      <c r="D62" s="22"/>
      <c r="E62" s="22"/>
      <c r="G62" s="23"/>
      <c r="H62" s="24"/>
      <c r="I62" s="11"/>
      <c r="K62" s="2"/>
      <c r="Q62" s="35"/>
    </row>
    <row r="63" spans="3:17" ht="16.5" customHeight="1">
      <c r="C63" s="8"/>
      <c r="D63" s="4"/>
      <c r="E63" s="8"/>
      <c r="F63" s="3"/>
      <c r="G63" s="5"/>
      <c r="H63" s="6"/>
      <c r="I63" s="11"/>
      <c r="K63" s="3" t="s">
        <v>627</v>
      </c>
      <c r="L63" s="11" t="s">
        <v>577</v>
      </c>
      <c r="M63" s="3" t="s">
        <v>652</v>
      </c>
      <c r="Q63" s="33"/>
    </row>
    <row r="64" spans="3:13" ht="16.5" customHeight="1">
      <c r="C64" s="8">
        <f>C7</f>
        <v>2023</v>
      </c>
      <c r="D64" s="4">
        <f>D7</f>
        <v>1</v>
      </c>
      <c r="E64" s="8" t="s">
        <v>547</v>
      </c>
      <c r="F64" s="3" t="s">
        <v>548</v>
      </c>
      <c r="G64" s="5" t="s">
        <v>550</v>
      </c>
      <c r="H64" s="6" t="s">
        <v>559</v>
      </c>
      <c r="I64" s="11"/>
      <c r="K64" s="3" t="s">
        <v>561</v>
      </c>
      <c r="L64" s="11" t="s">
        <v>578</v>
      </c>
      <c r="M64" s="3" t="s">
        <v>561</v>
      </c>
    </row>
    <row r="65" spans="3:17" ht="16.5" customHeight="1" thickBot="1">
      <c r="C65" s="8" t="s">
        <v>558</v>
      </c>
      <c r="D65" s="8" t="s">
        <v>546</v>
      </c>
      <c r="E65" s="4">
        <f>E8</f>
        <v>1</v>
      </c>
      <c r="F65" s="3" t="str">
        <f>F8</f>
        <v>2023 MEMB</v>
      </c>
      <c r="G65" s="5" t="s">
        <v>551</v>
      </c>
      <c r="H65" s="7" t="s">
        <v>558</v>
      </c>
      <c r="I65" s="3" t="str">
        <f>I8</f>
        <v>NEW</v>
      </c>
      <c r="J65" s="3" t="s">
        <v>556</v>
      </c>
      <c r="K65" s="3" t="s">
        <v>628</v>
      </c>
      <c r="L65" s="11" t="s">
        <v>576</v>
      </c>
      <c r="M65" s="3">
        <v>462</v>
      </c>
      <c r="Q65" s="11"/>
    </row>
    <row r="66" spans="1:13" ht="16.5" customHeight="1" thickBot="1">
      <c r="A66" s="15" t="s">
        <v>25</v>
      </c>
      <c r="B66" s="2" t="s">
        <v>300</v>
      </c>
      <c r="C66" s="17">
        <v>23</v>
      </c>
      <c r="D66" s="18">
        <f>SUM(C66*1)</f>
        <v>23</v>
      </c>
      <c r="E66" s="19">
        <f aca="true" t="shared" si="6" ref="E66:E87">SUM(D66-F66)</f>
        <v>2</v>
      </c>
      <c r="F66" s="17">
        <v>21</v>
      </c>
      <c r="G66" s="20">
        <v>45120</v>
      </c>
      <c r="H66" s="70">
        <f aca="true" t="shared" si="7" ref="H66:H83">SUM(F66/C66)</f>
        <v>0.9130434782608695</v>
      </c>
      <c r="I66" s="79"/>
      <c r="J66" s="79">
        <v>2</v>
      </c>
      <c r="K66" s="104"/>
      <c r="L66" s="46">
        <v>0</v>
      </c>
      <c r="M66" s="64"/>
    </row>
    <row r="67" spans="1:13" ht="16.5" customHeight="1" thickBot="1">
      <c r="A67" s="15" t="s">
        <v>26</v>
      </c>
      <c r="B67" s="2" t="s">
        <v>301</v>
      </c>
      <c r="C67" s="17">
        <v>73</v>
      </c>
      <c r="D67" s="18">
        <f aca="true" t="shared" si="8" ref="D67:D87">SUM(C67*1)</f>
        <v>73</v>
      </c>
      <c r="E67" s="19">
        <f t="shared" si="6"/>
        <v>4</v>
      </c>
      <c r="F67" s="17">
        <v>69</v>
      </c>
      <c r="G67" s="20">
        <v>45078</v>
      </c>
      <c r="H67" s="70">
        <f t="shared" si="7"/>
        <v>0.9452054794520548</v>
      </c>
      <c r="I67" s="79"/>
      <c r="J67" s="79">
        <v>4</v>
      </c>
      <c r="K67" s="104">
        <v>1</v>
      </c>
      <c r="L67" s="46">
        <v>9</v>
      </c>
      <c r="M67" s="64"/>
    </row>
    <row r="68" spans="1:13" ht="16.5" customHeight="1" thickBot="1">
      <c r="A68" s="15" t="s">
        <v>27</v>
      </c>
      <c r="B68" s="2" t="s">
        <v>302</v>
      </c>
      <c r="C68" s="17">
        <v>486</v>
      </c>
      <c r="D68" s="18">
        <f t="shared" si="8"/>
        <v>486</v>
      </c>
      <c r="E68" s="19">
        <f t="shared" si="6"/>
        <v>24</v>
      </c>
      <c r="F68" s="17">
        <v>462</v>
      </c>
      <c r="G68" s="20">
        <v>45134</v>
      </c>
      <c r="H68" s="70">
        <f t="shared" si="7"/>
        <v>0.9506172839506173</v>
      </c>
      <c r="I68" s="79">
        <v>26</v>
      </c>
      <c r="J68" s="79">
        <v>39</v>
      </c>
      <c r="K68" s="104">
        <v>4</v>
      </c>
      <c r="L68" s="46">
        <f>50+3+6+1+3+1</f>
        <v>64</v>
      </c>
      <c r="M68" s="64"/>
    </row>
    <row r="69" spans="1:13" ht="16.5" customHeight="1" thickBot="1">
      <c r="A69" s="15" t="s">
        <v>28</v>
      </c>
      <c r="B69" s="2" t="s">
        <v>616</v>
      </c>
      <c r="C69" s="17">
        <v>143</v>
      </c>
      <c r="D69" s="18">
        <f t="shared" si="8"/>
        <v>143</v>
      </c>
      <c r="E69" s="19">
        <f t="shared" si="6"/>
        <v>11</v>
      </c>
      <c r="F69" s="17">
        <v>132</v>
      </c>
      <c r="G69" s="20">
        <v>45120</v>
      </c>
      <c r="H69" s="70">
        <f t="shared" si="7"/>
        <v>0.9230769230769231</v>
      </c>
      <c r="I69" s="79">
        <v>3</v>
      </c>
      <c r="J69" s="79">
        <v>7</v>
      </c>
      <c r="K69" s="104">
        <v>2</v>
      </c>
      <c r="L69" s="46">
        <f>22+1+1+1</f>
        <v>25</v>
      </c>
      <c r="M69" s="64"/>
    </row>
    <row r="70" spans="1:13" ht="16.5" customHeight="1" thickBot="1">
      <c r="A70" s="154">
        <v>175</v>
      </c>
      <c r="B70" s="33" t="s">
        <v>625</v>
      </c>
      <c r="C70" s="17">
        <v>27</v>
      </c>
      <c r="D70" s="18">
        <f t="shared" si="8"/>
        <v>27</v>
      </c>
      <c r="E70" s="19">
        <f t="shared" si="6"/>
        <v>-2</v>
      </c>
      <c r="F70" s="17">
        <v>29</v>
      </c>
      <c r="G70" s="20">
        <v>45078</v>
      </c>
      <c r="H70" s="100">
        <f t="shared" si="7"/>
        <v>1.0740740740740742</v>
      </c>
      <c r="I70" s="79">
        <v>3</v>
      </c>
      <c r="J70" s="79">
        <v>3</v>
      </c>
      <c r="K70" s="104">
        <v>1</v>
      </c>
      <c r="L70" s="46">
        <f>2+2+1</f>
        <v>5</v>
      </c>
      <c r="M70" s="64"/>
    </row>
    <row r="71" spans="1:13" ht="16.5" customHeight="1" thickBot="1">
      <c r="A71" s="15" t="s">
        <v>29</v>
      </c>
      <c r="B71" s="2" t="s">
        <v>617</v>
      </c>
      <c r="C71" s="17">
        <v>162</v>
      </c>
      <c r="D71" s="18">
        <f t="shared" si="8"/>
        <v>162</v>
      </c>
      <c r="E71" s="19">
        <f t="shared" si="6"/>
        <v>20</v>
      </c>
      <c r="F71" s="17">
        <v>142</v>
      </c>
      <c r="G71" s="20">
        <v>45063</v>
      </c>
      <c r="H71" s="70">
        <f t="shared" si="7"/>
        <v>0.8765432098765432</v>
      </c>
      <c r="I71" s="79">
        <v>5</v>
      </c>
      <c r="J71" s="79">
        <v>15</v>
      </c>
      <c r="K71" s="80"/>
      <c r="L71" s="46">
        <f>22+4+1+3</f>
        <v>30</v>
      </c>
      <c r="M71" s="64"/>
    </row>
    <row r="72" spans="1:13" ht="16.5" customHeight="1" thickBot="1">
      <c r="A72" s="15" t="s">
        <v>30</v>
      </c>
      <c r="B72" s="2" t="s">
        <v>303</v>
      </c>
      <c r="C72" s="17">
        <v>83</v>
      </c>
      <c r="D72" s="18">
        <f t="shared" si="8"/>
        <v>83</v>
      </c>
      <c r="E72" s="19">
        <f t="shared" si="6"/>
        <v>9</v>
      </c>
      <c r="F72" s="17">
        <v>74</v>
      </c>
      <c r="G72" s="20">
        <v>45071</v>
      </c>
      <c r="H72" s="70">
        <f t="shared" si="7"/>
        <v>0.891566265060241</v>
      </c>
      <c r="I72" s="79">
        <v>8</v>
      </c>
      <c r="J72" s="79">
        <v>10</v>
      </c>
      <c r="K72" s="104">
        <v>2</v>
      </c>
      <c r="L72" s="46">
        <f>17+1+2</f>
        <v>20</v>
      </c>
      <c r="M72" s="64"/>
    </row>
    <row r="73" spans="1:13" ht="16.5" customHeight="1" thickBot="1">
      <c r="A73" s="15" t="s">
        <v>31</v>
      </c>
      <c r="B73" s="2" t="s">
        <v>618</v>
      </c>
      <c r="C73" s="17">
        <v>79</v>
      </c>
      <c r="D73" s="18">
        <f t="shared" si="8"/>
        <v>79</v>
      </c>
      <c r="E73" s="19">
        <f t="shared" si="6"/>
        <v>12</v>
      </c>
      <c r="F73" s="17">
        <v>67</v>
      </c>
      <c r="G73" s="20">
        <v>45134</v>
      </c>
      <c r="H73" s="70">
        <f t="shared" si="7"/>
        <v>0.8481012658227848</v>
      </c>
      <c r="I73" s="79">
        <v>1</v>
      </c>
      <c r="J73" s="79">
        <v>3</v>
      </c>
      <c r="K73" s="104"/>
      <c r="L73" s="46">
        <f>8+2+1+1</f>
        <v>12</v>
      </c>
      <c r="M73" s="64"/>
    </row>
    <row r="74" spans="1:13" ht="16.5" customHeight="1" thickBot="1">
      <c r="A74" s="15" t="s">
        <v>32</v>
      </c>
      <c r="B74" s="33" t="s">
        <v>304</v>
      </c>
      <c r="C74" s="17">
        <v>192</v>
      </c>
      <c r="D74" s="18">
        <f t="shared" si="8"/>
        <v>192</v>
      </c>
      <c r="E74" s="68">
        <f t="shared" si="6"/>
        <v>47</v>
      </c>
      <c r="F74" s="17">
        <v>145</v>
      </c>
      <c r="G74" s="20">
        <v>45134</v>
      </c>
      <c r="H74" s="70">
        <f t="shared" si="7"/>
        <v>0.7552083333333334</v>
      </c>
      <c r="I74" s="79">
        <v>1</v>
      </c>
      <c r="J74" s="79">
        <v>19</v>
      </c>
      <c r="K74" s="104">
        <v>2</v>
      </c>
      <c r="L74" s="46">
        <f>24+1+3+4</f>
        <v>32</v>
      </c>
      <c r="M74" s="64"/>
    </row>
    <row r="75" spans="1:13" ht="16.5" customHeight="1" thickBot="1">
      <c r="A75" s="15" t="s">
        <v>33</v>
      </c>
      <c r="B75" s="2" t="s">
        <v>305</v>
      </c>
      <c r="C75" s="17">
        <v>122</v>
      </c>
      <c r="D75" s="18">
        <f t="shared" si="8"/>
        <v>122</v>
      </c>
      <c r="E75" s="19">
        <f t="shared" si="6"/>
        <v>29</v>
      </c>
      <c r="F75" s="17">
        <v>93</v>
      </c>
      <c r="G75" s="20">
        <v>45106</v>
      </c>
      <c r="H75" s="70">
        <f t="shared" si="7"/>
        <v>0.7622950819672131</v>
      </c>
      <c r="I75" s="79"/>
      <c r="J75" s="79">
        <v>11</v>
      </c>
      <c r="K75" s="104">
        <v>3</v>
      </c>
      <c r="L75" s="46">
        <f>16+1+1</f>
        <v>18</v>
      </c>
      <c r="M75" s="64"/>
    </row>
    <row r="76" spans="1:13" ht="16.5" customHeight="1" thickBot="1">
      <c r="A76" s="136" t="s">
        <v>34</v>
      </c>
      <c r="B76" s="2" t="s">
        <v>306</v>
      </c>
      <c r="C76" s="17">
        <v>46</v>
      </c>
      <c r="D76" s="18">
        <f t="shared" si="8"/>
        <v>46</v>
      </c>
      <c r="E76" s="19">
        <f t="shared" si="6"/>
        <v>35</v>
      </c>
      <c r="F76" s="17">
        <v>11</v>
      </c>
      <c r="G76" s="20">
        <v>44873</v>
      </c>
      <c r="H76" s="70">
        <f t="shared" si="7"/>
        <v>0.2391304347826087</v>
      </c>
      <c r="I76" s="79"/>
      <c r="J76" s="79">
        <v>1</v>
      </c>
      <c r="K76" s="104"/>
      <c r="L76" s="46">
        <v>2</v>
      </c>
      <c r="M76" s="137"/>
    </row>
    <row r="77" spans="1:13" ht="16.5" customHeight="1" thickBot="1">
      <c r="A77" s="15" t="s">
        <v>35</v>
      </c>
      <c r="B77" s="2" t="s">
        <v>619</v>
      </c>
      <c r="C77" s="17">
        <v>166</v>
      </c>
      <c r="D77" s="18">
        <f t="shared" si="8"/>
        <v>166</v>
      </c>
      <c r="E77" s="19">
        <f t="shared" si="6"/>
        <v>-5</v>
      </c>
      <c r="F77" s="17">
        <v>171</v>
      </c>
      <c r="G77" s="20">
        <v>45134</v>
      </c>
      <c r="H77" s="100">
        <f t="shared" si="7"/>
        <v>1.0301204819277108</v>
      </c>
      <c r="I77" s="79">
        <v>8</v>
      </c>
      <c r="J77" s="79">
        <v>9</v>
      </c>
      <c r="K77" s="104">
        <v>2</v>
      </c>
      <c r="L77" s="46">
        <f>26+4+1+2+1+1</f>
        <v>35</v>
      </c>
      <c r="M77" s="137"/>
    </row>
    <row r="78" spans="1:13" ht="16.5" customHeight="1" thickBot="1">
      <c r="A78" s="15" t="s">
        <v>36</v>
      </c>
      <c r="B78" s="2" t="s">
        <v>620</v>
      </c>
      <c r="C78" s="17">
        <v>130</v>
      </c>
      <c r="D78" s="18">
        <f t="shared" si="8"/>
        <v>130</v>
      </c>
      <c r="E78" s="19">
        <f t="shared" si="6"/>
        <v>11</v>
      </c>
      <c r="F78" s="17">
        <v>119</v>
      </c>
      <c r="G78" s="20">
        <v>45134</v>
      </c>
      <c r="H78" s="70">
        <f t="shared" si="7"/>
        <v>0.9153846153846154</v>
      </c>
      <c r="I78" s="79">
        <v>6</v>
      </c>
      <c r="J78" s="79">
        <v>9</v>
      </c>
      <c r="K78" s="104">
        <v>3</v>
      </c>
      <c r="L78" s="46">
        <f>17+1+3+2</f>
        <v>23</v>
      </c>
      <c r="M78" s="137"/>
    </row>
    <row r="79" spans="1:13" ht="16.5" customHeight="1" thickBot="1">
      <c r="A79" s="15" t="s">
        <v>37</v>
      </c>
      <c r="B79" s="2" t="s">
        <v>621</v>
      </c>
      <c r="C79" s="17">
        <v>75</v>
      </c>
      <c r="D79" s="18">
        <f t="shared" si="8"/>
        <v>75</v>
      </c>
      <c r="E79" s="19">
        <f t="shared" si="6"/>
        <v>16</v>
      </c>
      <c r="F79" s="17">
        <v>59</v>
      </c>
      <c r="G79" s="20">
        <v>45106</v>
      </c>
      <c r="H79" s="70">
        <f t="shared" si="7"/>
        <v>0.7866666666666666</v>
      </c>
      <c r="I79" s="79"/>
      <c r="J79" s="79">
        <v>10</v>
      </c>
      <c r="K79" s="104"/>
      <c r="L79" s="46">
        <f>6+1+1</f>
        <v>8</v>
      </c>
      <c r="M79" s="137"/>
    </row>
    <row r="80" spans="1:13" ht="16.5" customHeight="1" thickBot="1">
      <c r="A80" s="156" t="s">
        <v>38</v>
      </c>
      <c r="B80" s="2" t="s">
        <v>307</v>
      </c>
      <c r="C80" s="17">
        <v>147</v>
      </c>
      <c r="D80" s="18">
        <f t="shared" si="8"/>
        <v>147</v>
      </c>
      <c r="E80" s="19">
        <f t="shared" si="6"/>
        <v>-5</v>
      </c>
      <c r="F80" s="17">
        <v>152</v>
      </c>
      <c r="G80" s="20">
        <v>45071</v>
      </c>
      <c r="H80" s="100">
        <f t="shared" si="7"/>
        <v>1.034013605442177</v>
      </c>
      <c r="I80" s="79">
        <v>14</v>
      </c>
      <c r="J80" s="79">
        <v>8</v>
      </c>
      <c r="K80" s="80">
        <v>4</v>
      </c>
      <c r="L80" s="46">
        <f>26+2+3+1</f>
        <v>32</v>
      </c>
      <c r="M80" s="137"/>
    </row>
    <row r="81" spans="1:13" ht="16.5" customHeight="1" thickBot="1">
      <c r="A81" s="15" t="s">
        <v>39</v>
      </c>
      <c r="B81" s="2" t="s">
        <v>623</v>
      </c>
      <c r="C81" s="17">
        <v>122</v>
      </c>
      <c r="D81" s="18">
        <f t="shared" si="8"/>
        <v>122</v>
      </c>
      <c r="E81" s="19">
        <f t="shared" si="6"/>
        <v>5</v>
      </c>
      <c r="F81" s="17">
        <v>117</v>
      </c>
      <c r="G81" s="20">
        <v>45036</v>
      </c>
      <c r="H81" s="70">
        <f t="shared" si="7"/>
        <v>0.9590163934426229</v>
      </c>
      <c r="I81" s="79">
        <v>5</v>
      </c>
      <c r="J81" s="79">
        <v>26</v>
      </c>
      <c r="K81" s="104">
        <v>3</v>
      </c>
      <c r="L81" s="46">
        <v>11</v>
      </c>
      <c r="M81" s="137"/>
    </row>
    <row r="82" spans="1:13" ht="16.5" customHeight="1" thickBot="1">
      <c r="A82" s="15" t="s">
        <v>40</v>
      </c>
      <c r="B82" s="2" t="s">
        <v>308</v>
      </c>
      <c r="C82" s="17">
        <v>37</v>
      </c>
      <c r="D82" s="18">
        <f t="shared" si="8"/>
        <v>37</v>
      </c>
      <c r="E82" s="19">
        <f t="shared" si="6"/>
        <v>4</v>
      </c>
      <c r="F82" s="17">
        <v>33</v>
      </c>
      <c r="G82" s="20">
        <v>45036</v>
      </c>
      <c r="H82" s="70">
        <f t="shared" si="7"/>
        <v>0.8918918918918919</v>
      </c>
      <c r="I82" s="79"/>
      <c r="J82" s="79">
        <v>3</v>
      </c>
      <c r="K82" s="104"/>
      <c r="L82" s="46">
        <v>2</v>
      </c>
      <c r="M82" s="137"/>
    </row>
    <row r="83" spans="1:13" ht="16.5" customHeight="1" thickBot="1">
      <c r="A83" s="15" t="s">
        <v>41</v>
      </c>
      <c r="B83" s="2" t="s">
        <v>309</v>
      </c>
      <c r="C83" s="17">
        <v>24</v>
      </c>
      <c r="D83" s="18">
        <f t="shared" si="8"/>
        <v>24</v>
      </c>
      <c r="E83" s="19">
        <f t="shared" si="6"/>
        <v>1</v>
      </c>
      <c r="F83" s="17">
        <v>23</v>
      </c>
      <c r="G83" s="20">
        <v>45120</v>
      </c>
      <c r="H83" s="70">
        <f t="shared" si="7"/>
        <v>0.9583333333333334</v>
      </c>
      <c r="I83" s="79"/>
      <c r="J83" s="79">
        <v>4</v>
      </c>
      <c r="K83" s="104"/>
      <c r="L83" s="46">
        <f>6+1</f>
        <v>7</v>
      </c>
      <c r="M83" s="137"/>
    </row>
    <row r="84" spans="1:13" ht="16.5" customHeight="1" thickBot="1">
      <c r="A84" s="15" t="s">
        <v>42</v>
      </c>
      <c r="B84" s="2" t="s">
        <v>310</v>
      </c>
      <c r="C84" s="17">
        <v>161</v>
      </c>
      <c r="D84" s="18">
        <f t="shared" si="8"/>
        <v>161</v>
      </c>
      <c r="E84" s="19">
        <f t="shared" si="6"/>
        <v>10</v>
      </c>
      <c r="F84" s="17">
        <v>151</v>
      </c>
      <c r="G84" s="20">
        <v>45106</v>
      </c>
      <c r="H84" s="70">
        <f>SUM(F84/C84)</f>
        <v>0.937888198757764</v>
      </c>
      <c r="I84" s="79">
        <v>9</v>
      </c>
      <c r="J84" s="79">
        <v>8</v>
      </c>
      <c r="K84" s="104">
        <v>1</v>
      </c>
      <c r="L84" s="46">
        <f>10+1+2</f>
        <v>13</v>
      </c>
      <c r="M84" s="137"/>
    </row>
    <row r="85" spans="1:13" ht="16.5" customHeight="1" thickBot="1">
      <c r="A85" s="136" t="s">
        <v>43</v>
      </c>
      <c r="B85" s="2" t="s">
        <v>311</v>
      </c>
      <c r="C85" s="17">
        <v>62</v>
      </c>
      <c r="D85" s="18">
        <f t="shared" si="8"/>
        <v>62</v>
      </c>
      <c r="E85" s="19">
        <f t="shared" si="6"/>
        <v>37</v>
      </c>
      <c r="F85" s="17">
        <v>25</v>
      </c>
      <c r="G85" s="20">
        <v>45071</v>
      </c>
      <c r="H85" s="70">
        <f>SUM(F85/C85)</f>
        <v>0.4032258064516129</v>
      </c>
      <c r="I85" s="79"/>
      <c r="J85" s="79">
        <v>14</v>
      </c>
      <c r="K85" s="104"/>
      <c r="L85" s="46">
        <f>6+3</f>
        <v>9</v>
      </c>
      <c r="M85" s="137"/>
    </row>
    <row r="86" spans="1:13" ht="16.5" customHeight="1" thickBot="1">
      <c r="A86" s="15" t="s">
        <v>44</v>
      </c>
      <c r="B86" s="2" t="s">
        <v>312</v>
      </c>
      <c r="C86" s="17">
        <v>73</v>
      </c>
      <c r="D86" s="18">
        <f t="shared" si="8"/>
        <v>73</v>
      </c>
      <c r="E86" s="19">
        <f t="shared" si="6"/>
        <v>22</v>
      </c>
      <c r="F86" s="17">
        <v>51</v>
      </c>
      <c r="G86" s="20">
        <v>45120</v>
      </c>
      <c r="H86" s="70">
        <f>SUM(F86/C86)</f>
        <v>0.6986301369863014</v>
      </c>
      <c r="I86" s="79"/>
      <c r="J86" s="79">
        <v>8</v>
      </c>
      <c r="K86" s="104"/>
      <c r="L86" s="46">
        <f>5+1</f>
        <v>6</v>
      </c>
      <c r="M86" s="64"/>
    </row>
    <row r="87" spans="1:13" ht="16.5" customHeight="1" thickBot="1">
      <c r="A87" s="155" t="s">
        <v>45</v>
      </c>
      <c r="B87" s="2" t="s">
        <v>622</v>
      </c>
      <c r="C87" s="17">
        <v>138</v>
      </c>
      <c r="D87" s="18">
        <f t="shared" si="8"/>
        <v>138</v>
      </c>
      <c r="E87" s="19">
        <f t="shared" si="6"/>
        <v>-5</v>
      </c>
      <c r="F87" s="17">
        <v>143</v>
      </c>
      <c r="G87" s="20">
        <v>45050</v>
      </c>
      <c r="H87" s="151">
        <f>SUM(F87/C87)</f>
        <v>1.036231884057971</v>
      </c>
      <c r="I87" s="79">
        <v>7</v>
      </c>
      <c r="J87" s="79">
        <v>6</v>
      </c>
      <c r="K87" s="104">
        <v>2</v>
      </c>
      <c r="L87" s="46">
        <f>13+2+1</f>
        <v>16</v>
      </c>
      <c r="M87" s="64"/>
    </row>
    <row r="88" spans="1:11" ht="16.5" customHeight="1">
      <c r="A88" s="14"/>
      <c r="C88" s="22" t="s">
        <v>553</v>
      </c>
      <c r="D88" s="28"/>
      <c r="E88" s="22"/>
      <c r="G88" s="23"/>
      <c r="H88" s="24"/>
      <c r="I88" s="11"/>
      <c r="K88" s="2"/>
    </row>
    <row r="89" spans="1:11" ht="16.5" customHeight="1" thickBot="1">
      <c r="A89" s="14"/>
      <c r="B89" s="14" t="s">
        <v>649</v>
      </c>
      <c r="C89" s="126">
        <v>51</v>
      </c>
      <c r="D89" s="86"/>
      <c r="E89" s="22"/>
      <c r="G89" s="23"/>
      <c r="H89" s="24"/>
      <c r="I89" s="11"/>
      <c r="K89" s="2"/>
    </row>
    <row r="90" spans="2:13" ht="16.5" customHeight="1" thickBot="1">
      <c r="B90" s="15" t="s">
        <v>288</v>
      </c>
      <c r="C90" s="18">
        <f>SUM(C66:C89)</f>
        <v>2622</v>
      </c>
      <c r="D90" s="18">
        <f>SUM(C90*1)</f>
        <v>2622</v>
      </c>
      <c r="E90" s="19">
        <f>SUM(D90-F90)</f>
        <v>333</v>
      </c>
      <c r="F90" s="19">
        <f>SUM(F66:F87)</f>
        <v>2289</v>
      </c>
      <c r="G90" s="20"/>
      <c r="H90" s="21">
        <f>SUM(F90/C90)</f>
        <v>0.8729977116704806</v>
      </c>
      <c r="I90" s="79">
        <f>SUM(I66:I87)</f>
        <v>96</v>
      </c>
      <c r="J90" s="79">
        <f>SUM(J66:J87)</f>
        <v>219</v>
      </c>
      <c r="K90" s="79">
        <f>SUM(K66:K87)</f>
        <v>30</v>
      </c>
      <c r="L90" s="17">
        <f>SUM(L66:L87)</f>
        <v>379</v>
      </c>
      <c r="M90" s="64">
        <f>SUM(M66:M87)</f>
        <v>0</v>
      </c>
    </row>
    <row r="91" spans="1:11" ht="16.5" customHeight="1">
      <c r="A91" s="84" t="str">
        <f>A23</f>
        <v> TARGET DATE : 05/17/2023    100%</v>
      </c>
      <c r="B91" s="48"/>
      <c r="C91" s="22"/>
      <c r="D91" s="22"/>
      <c r="E91" s="22"/>
      <c r="G91" s="23"/>
      <c r="H91" s="24"/>
      <c r="I91" s="11"/>
      <c r="K91" s="2"/>
    </row>
    <row r="92" spans="1:11" ht="16.5" customHeight="1">
      <c r="A92" s="14"/>
      <c r="B92" s="2" t="s">
        <v>664</v>
      </c>
      <c r="C92" s="22"/>
      <c r="D92" s="53"/>
      <c r="E92" s="53"/>
      <c r="F92" s="10"/>
      <c r="G92" s="11"/>
      <c r="H92" s="23"/>
      <c r="J92" s="2"/>
      <c r="K92" s="2"/>
    </row>
    <row r="93" spans="1:11" ht="16.5" customHeight="1">
      <c r="A93" s="14"/>
      <c r="B93" s="2" t="s">
        <v>663</v>
      </c>
      <c r="C93" s="22"/>
      <c r="D93" s="53"/>
      <c r="E93" s="53"/>
      <c r="F93" s="10"/>
      <c r="G93" s="11"/>
      <c r="H93" s="23"/>
      <c r="J93" s="2"/>
      <c r="K93" s="2"/>
    </row>
    <row r="94" spans="1:11" ht="16.5" customHeight="1">
      <c r="A94" s="14"/>
      <c r="C94" s="22"/>
      <c r="D94" s="53"/>
      <c r="E94" s="53"/>
      <c r="F94" s="10"/>
      <c r="G94" s="11"/>
      <c r="H94" s="23"/>
      <c r="J94" s="2"/>
      <c r="K94" s="2"/>
    </row>
    <row r="95" spans="1:11" ht="16.5" customHeight="1">
      <c r="A95" s="14"/>
      <c r="C95" s="22"/>
      <c r="D95" s="53"/>
      <c r="E95" s="53"/>
      <c r="F95" s="10"/>
      <c r="G95" s="11"/>
      <c r="H95" s="23"/>
      <c r="J95" s="2"/>
      <c r="K95" s="2"/>
    </row>
    <row r="96" spans="1:11" ht="16.5" customHeight="1">
      <c r="A96" s="14" t="s">
        <v>313</v>
      </c>
      <c r="C96" s="22"/>
      <c r="D96" s="22"/>
      <c r="E96" s="22"/>
      <c r="G96" s="25"/>
      <c r="H96" s="77">
        <f>F3</f>
        <v>45134</v>
      </c>
      <c r="I96" s="11"/>
      <c r="K96" s="2"/>
    </row>
    <row r="97" spans="1:11" ht="16.5" customHeight="1">
      <c r="A97" s="14" t="s">
        <v>638</v>
      </c>
      <c r="C97" s="22"/>
      <c r="D97" s="22"/>
      <c r="E97" s="22"/>
      <c r="G97" s="23"/>
      <c r="H97" s="24"/>
      <c r="I97" s="11"/>
      <c r="K97" s="2"/>
    </row>
    <row r="98" spans="2:13" ht="16.5" customHeight="1">
      <c r="B98" s="14"/>
      <c r="C98" s="22"/>
      <c r="D98" s="22"/>
      <c r="E98" s="22"/>
      <c r="G98" s="23"/>
      <c r="H98" s="24"/>
      <c r="I98" s="11"/>
      <c r="K98" s="3" t="s">
        <v>627</v>
      </c>
      <c r="L98" s="11" t="s">
        <v>577</v>
      </c>
      <c r="M98" s="3" t="s">
        <v>652</v>
      </c>
    </row>
    <row r="99" spans="3:13" ht="16.5" customHeight="1">
      <c r="C99" s="8">
        <f>C7</f>
        <v>2023</v>
      </c>
      <c r="D99" s="4">
        <f>D7</f>
        <v>1</v>
      </c>
      <c r="E99" s="8" t="s">
        <v>547</v>
      </c>
      <c r="F99" s="3" t="s">
        <v>548</v>
      </c>
      <c r="G99" s="5" t="s">
        <v>550</v>
      </c>
      <c r="H99" s="6" t="s">
        <v>559</v>
      </c>
      <c r="I99" s="11"/>
      <c r="K99" s="3" t="s">
        <v>561</v>
      </c>
      <c r="L99" s="11" t="s">
        <v>578</v>
      </c>
      <c r="M99" s="3" t="s">
        <v>561</v>
      </c>
    </row>
    <row r="100" spans="1:13" ht="16.5" customHeight="1" thickBot="1">
      <c r="A100" s="14"/>
      <c r="C100" s="8" t="s">
        <v>558</v>
      </c>
      <c r="D100" s="8" t="s">
        <v>546</v>
      </c>
      <c r="E100" s="4">
        <f>E8</f>
        <v>1</v>
      </c>
      <c r="F100" s="3" t="str">
        <f>F8</f>
        <v>2023 MEMB</v>
      </c>
      <c r="G100" s="5" t="s">
        <v>551</v>
      </c>
      <c r="H100" s="7" t="s">
        <v>558</v>
      </c>
      <c r="I100" s="3" t="str">
        <f>I8</f>
        <v>NEW</v>
      </c>
      <c r="J100" s="3" t="s">
        <v>556</v>
      </c>
      <c r="K100" s="3" t="s">
        <v>628</v>
      </c>
      <c r="L100" s="11" t="s">
        <v>576</v>
      </c>
      <c r="M100" s="3">
        <v>462</v>
      </c>
    </row>
    <row r="101" spans="1:13" ht="16.5" customHeight="1" thickBot="1">
      <c r="A101" s="15" t="s">
        <v>46</v>
      </c>
      <c r="B101" s="33" t="s">
        <v>314</v>
      </c>
      <c r="C101" s="73">
        <v>88</v>
      </c>
      <c r="D101" s="18">
        <f>SUM(C101*1)</f>
        <v>88</v>
      </c>
      <c r="E101" s="19">
        <f aca="true" t="shared" si="9" ref="E101:E154">SUM(D101-F101)</f>
        <v>10</v>
      </c>
      <c r="F101" s="73">
        <v>78</v>
      </c>
      <c r="G101" s="20">
        <v>44971</v>
      </c>
      <c r="H101" s="70">
        <f aca="true" t="shared" si="10" ref="H101:H151">SUM(F101/C101)</f>
        <v>0.8863636363636364</v>
      </c>
      <c r="I101" s="79">
        <v>4</v>
      </c>
      <c r="J101" s="79">
        <v>5</v>
      </c>
      <c r="K101" s="104"/>
      <c r="L101" s="46">
        <f>1+1+1</f>
        <v>3</v>
      </c>
      <c r="M101" s="64"/>
    </row>
    <row r="102" spans="1:13" ht="16.5" customHeight="1" thickBot="1">
      <c r="A102" s="15" t="s">
        <v>47</v>
      </c>
      <c r="B102" s="33" t="s">
        <v>315</v>
      </c>
      <c r="C102" s="73">
        <v>30</v>
      </c>
      <c r="D102" s="18">
        <f aca="true" t="shared" si="11" ref="D102:D154">SUM(C102*1)</f>
        <v>30</v>
      </c>
      <c r="E102" s="19">
        <f t="shared" si="9"/>
        <v>9</v>
      </c>
      <c r="F102" s="73">
        <v>21</v>
      </c>
      <c r="G102" s="20">
        <v>45071</v>
      </c>
      <c r="H102" s="70">
        <f t="shared" si="10"/>
        <v>0.7</v>
      </c>
      <c r="I102" s="79"/>
      <c r="J102" s="79">
        <v>2</v>
      </c>
      <c r="K102" s="104"/>
      <c r="L102" s="46">
        <f>1</f>
        <v>1</v>
      </c>
      <c r="M102" s="64"/>
    </row>
    <row r="103" spans="1:13" ht="16.5" customHeight="1" thickBot="1">
      <c r="A103" s="15" t="s">
        <v>48</v>
      </c>
      <c r="B103" s="33" t="s">
        <v>316</v>
      </c>
      <c r="C103" s="73">
        <v>41</v>
      </c>
      <c r="D103" s="18">
        <f t="shared" si="11"/>
        <v>41</v>
      </c>
      <c r="E103" s="19">
        <f t="shared" si="9"/>
        <v>0</v>
      </c>
      <c r="F103" s="73">
        <v>41</v>
      </c>
      <c r="G103" s="20">
        <v>45106</v>
      </c>
      <c r="H103" s="157">
        <f t="shared" si="10"/>
        <v>1</v>
      </c>
      <c r="I103" s="79"/>
      <c r="J103" s="79">
        <v>10</v>
      </c>
      <c r="K103" s="104"/>
      <c r="L103" s="46">
        <f>1+1</f>
        <v>2</v>
      </c>
      <c r="M103" s="64"/>
    </row>
    <row r="104" spans="1:13" ht="16.5" customHeight="1" thickBot="1">
      <c r="A104" s="15" t="s">
        <v>49</v>
      </c>
      <c r="B104" s="2" t="s">
        <v>317</v>
      </c>
      <c r="C104" s="73">
        <v>24</v>
      </c>
      <c r="D104" s="18">
        <f t="shared" si="11"/>
        <v>24</v>
      </c>
      <c r="E104" s="19">
        <f t="shared" si="9"/>
        <v>3</v>
      </c>
      <c r="F104" s="73">
        <v>21</v>
      </c>
      <c r="G104" s="20">
        <v>44917</v>
      </c>
      <c r="H104" s="70">
        <f t="shared" si="10"/>
        <v>0.875</v>
      </c>
      <c r="I104" s="79"/>
      <c r="J104" s="79">
        <v>3</v>
      </c>
      <c r="K104" s="104"/>
      <c r="L104" s="46">
        <v>9</v>
      </c>
      <c r="M104" s="137"/>
    </row>
    <row r="105" spans="1:13" ht="16.5" customHeight="1" thickBot="1">
      <c r="A105" s="15" t="s">
        <v>50</v>
      </c>
      <c r="B105" s="2" t="s">
        <v>318</v>
      </c>
      <c r="C105" s="73">
        <v>71</v>
      </c>
      <c r="D105" s="18">
        <f t="shared" si="11"/>
        <v>71</v>
      </c>
      <c r="E105" s="19">
        <f t="shared" si="9"/>
        <v>3</v>
      </c>
      <c r="F105" s="73">
        <v>68</v>
      </c>
      <c r="G105" s="20">
        <v>45120</v>
      </c>
      <c r="H105" s="70">
        <f t="shared" si="10"/>
        <v>0.9577464788732394</v>
      </c>
      <c r="I105" s="79">
        <v>1</v>
      </c>
      <c r="J105" s="79">
        <v>7</v>
      </c>
      <c r="K105" s="104"/>
      <c r="L105" s="46">
        <f>14+1+1</f>
        <v>16</v>
      </c>
      <c r="M105" s="137"/>
    </row>
    <row r="106" spans="1:13" ht="16.5" customHeight="1" thickBot="1">
      <c r="A106" s="15" t="s">
        <v>51</v>
      </c>
      <c r="B106" s="33" t="s">
        <v>319</v>
      </c>
      <c r="C106" s="73">
        <v>66</v>
      </c>
      <c r="D106" s="18">
        <f t="shared" si="11"/>
        <v>66</v>
      </c>
      <c r="E106" s="19">
        <f t="shared" si="9"/>
        <v>5</v>
      </c>
      <c r="F106" s="73">
        <v>61</v>
      </c>
      <c r="G106" s="20">
        <v>45022</v>
      </c>
      <c r="H106" s="70">
        <f t="shared" si="10"/>
        <v>0.9242424242424242</v>
      </c>
      <c r="I106" s="79">
        <v>1</v>
      </c>
      <c r="J106" s="79">
        <v>5</v>
      </c>
      <c r="K106" s="104"/>
      <c r="L106" s="46">
        <f>6+1</f>
        <v>7</v>
      </c>
      <c r="M106" s="64"/>
    </row>
    <row r="107" spans="1:13" ht="16.5" customHeight="1" thickBot="1">
      <c r="A107" s="154" t="s">
        <v>52</v>
      </c>
      <c r="B107" s="33" t="s">
        <v>320</v>
      </c>
      <c r="C107" s="73">
        <v>26</v>
      </c>
      <c r="D107" s="18">
        <f t="shared" si="11"/>
        <v>26</v>
      </c>
      <c r="E107" s="19">
        <f t="shared" si="9"/>
        <v>-13</v>
      </c>
      <c r="F107" s="73">
        <v>39</v>
      </c>
      <c r="G107" s="20">
        <v>44965</v>
      </c>
      <c r="H107" s="151">
        <f t="shared" si="10"/>
        <v>1.5</v>
      </c>
      <c r="I107" s="79">
        <v>2</v>
      </c>
      <c r="J107" s="79">
        <v>2</v>
      </c>
      <c r="K107" s="104"/>
      <c r="L107" s="46">
        <v>8</v>
      </c>
      <c r="M107" s="64"/>
    </row>
    <row r="108" spans="1:13" ht="16.5" customHeight="1" thickBot="1">
      <c r="A108" s="154" t="s">
        <v>53</v>
      </c>
      <c r="B108" s="33" t="s">
        <v>321</v>
      </c>
      <c r="C108" s="73">
        <v>73</v>
      </c>
      <c r="D108" s="18">
        <f t="shared" si="11"/>
        <v>73</v>
      </c>
      <c r="E108" s="19">
        <f t="shared" si="9"/>
        <v>-3</v>
      </c>
      <c r="F108" s="73">
        <v>76</v>
      </c>
      <c r="G108" s="20">
        <v>45036</v>
      </c>
      <c r="H108" s="151">
        <f t="shared" si="10"/>
        <v>1.0410958904109588</v>
      </c>
      <c r="I108" s="79">
        <v>1</v>
      </c>
      <c r="J108" s="79">
        <v>5</v>
      </c>
      <c r="K108" s="104">
        <v>7</v>
      </c>
      <c r="L108" s="46">
        <v>10</v>
      </c>
      <c r="M108" s="64">
        <v>4</v>
      </c>
    </row>
    <row r="109" spans="1:13" ht="16.5" customHeight="1" thickBot="1">
      <c r="A109" s="154" t="s">
        <v>54</v>
      </c>
      <c r="B109" s="2" t="s">
        <v>322</v>
      </c>
      <c r="C109" s="73">
        <v>82</v>
      </c>
      <c r="D109" s="18">
        <f t="shared" si="11"/>
        <v>82</v>
      </c>
      <c r="E109" s="19">
        <f t="shared" si="9"/>
        <v>-9</v>
      </c>
      <c r="F109" s="73">
        <v>91</v>
      </c>
      <c r="G109" s="20">
        <v>45093</v>
      </c>
      <c r="H109" s="100">
        <f t="shared" si="10"/>
        <v>1.1097560975609757</v>
      </c>
      <c r="I109" s="79">
        <v>3</v>
      </c>
      <c r="J109" s="79">
        <v>9</v>
      </c>
      <c r="K109" s="104"/>
      <c r="L109" s="46">
        <f>17+1+1+2</f>
        <v>21</v>
      </c>
      <c r="M109" s="138"/>
    </row>
    <row r="110" spans="1:13" ht="16.5" customHeight="1" thickBot="1">
      <c r="A110" s="15" t="s">
        <v>55</v>
      </c>
      <c r="B110" s="2" t="s">
        <v>323</v>
      </c>
      <c r="C110" s="73">
        <v>105</v>
      </c>
      <c r="D110" s="18">
        <f t="shared" si="11"/>
        <v>105</v>
      </c>
      <c r="E110" s="19">
        <f t="shared" si="9"/>
        <v>7</v>
      </c>
      <c r="F110" s="73">
        <v>98</v>
      </c>
      <c r="G110" s="20">
        <v>45036</v>
      </c>
      <c r="H110" s="70">
        <f t="shared" si="10"/>
        <v>0.9333333333333333</v>
      </c>
      <c r="I110" s="79">
        <v>2</v>
      </c>
      <c r="J110" s="79">
        <v>11</v>
      </c>
      <c r="K110" s="104"/>
      <c r="L110" s="46">
        <f>23+3+1+1</f>
        <v>28</v>
      </c>
      <c r="M110" s="64"/>
    </row>
    <row r="111" spans="1:13" ht="16.5" customHeight="1" thickBot="1">
      <c r="A111" s="15" t="s">
        <v>56</v>
      </c>
      <c r="B111" s="2" t="s">
        <v>324</v>
      </c>
      <c r="C111" s="73">
        <v>114</v>
      </c>
      <c r="D111" s="18">
        <f t="shared" si="11"/>
        <v>114</v>
      </c>
      <c r="E111" s="19">
        <f t="shared" si="9"/>
        <v>11</v>
      </c>
      <c r="F111" s="73">
        <v>103</v>
      </c>
      <c r="G111" s="20">
        <v>45043</v>
      </c>
      <c r="H111" s="70">
        <f t="shared" si="10"/>
        <v>0.9035087719298246</v>
      </c>
      <c r="I111" s="79"/>
      <c r="J111" s="79">
        <v>5</v>
      </c>
      <c r="K111" s="104">
        <v>1</v>
      </c>
      <c r="L111" s="46">
        <f>26+3+2</f>
        <v>31</v>
      </c>
      <c r="M111" s="139"/>
    </row>
    <row r="112" spans="1:13" ht="16.5" customHeight="1" thickBot="1">
      <c r="A112" s="15" t="s">
        <v>57</v>
      </c>
      <c r="B112" s="2" t="s">
        <v>325</v>
      </c>
      <c r="C112" s="73">
        <v>40</v>
      </c>
      <c r="D112" s="18">
        <f t="shared" si="11"/>
        <v>40</v>
      </c>
      <c r="E112" s="19">
        <f t="shared" si="9"/>
        <v>2</v>
      </c>
      <c r="F112" s="73">
        <v>38</v>
      </c>
      <c r="G112" s="20">
        <v>44951</v>
      </c>
      <c r="H112" s="70">
        <f t="shared" si="10"/>
        <v>0.95</v>
      </c>
      <c r="I112" s="79"/>
      <c r="J112" s="79">
        <v>3</v>
      </c>
      <c r="K112" s="104"/>
      <c r="L112" s="46">
        <v>2</v>
      </c>
      <c r="M112" s="64"/>
    </row>
    <row r="113" spans="1:13" ht="16.5" customHeight="1" thickBot="1">
      <c r="A113" s="15" t="s">
        <v>58</v>
      </c>
      <c r="B113" s="2" t="s">
        <v>326</v>
      </c>
      <c r="C113" s="73">
        <v>183</v>
      </c>
      <c r="D113" s="18">
        <f t="shared" si="11"/>
        <v>183</v>
      </c>
      <c r="E113" s="19">
        <f t="shared" si="9"/>
        <v>12</v>
      </c>
      <c r="F113" s="73">
        <v>171</v>
      </c>
      <c r="G113" s="20">
        <v>45078</v>
      </c>
      <c r="H113" s="70">
        <f t="shared" si="10"/>
        <v>0.9344262295081968</v>
      </c>
      <c r="I113" s="79">
        <v>5</v>
      </c>
      <c r="J113" s="79">
        <v>24</v>
      </c>
      <c r="K113" s="104"/>
      <c r="L113" s="46">
        <v>29</v>
      </c>
      <c r="M113" s="64"/>
    </row>
    <row r="114" spans="1:13" ht="16.5" customHeight="1" thickBot="1">
      <c r="A114" s="15" t="s">
        <v>59</v>
      </c>
      <c r="B114" s="2" t="s">
        <v>327</v>
      </c>
      <c r="C114" s="73">
        <v>103</v>
      </c>
      <c r="D114" s="18">
        <f t="shared" si="11"/>
        <v>103</v>
      </c>
      <c r="E114" s="19">
        <f t="shared" si="9"/>
        <v>-2</v>
      </c>
      <c r="F114" s="73">
        <v>105</v>
      </c>
      <c r="G114" s="20">
        <v>45134</v>
      </c>
      <c r="H114" s="100">
        <f t="shared" si="10"/>
        <v>1.0194174757281553</v>
      </c>
      <c r="I114" s="79">
        <v>6</v>
      </c>
      <c r="J114" s="79">
        <v>6</v>
      </c>
      <c r="K114" s="104"/>
      <c r="L114" s="46">
        <f>19+4+1</f>
        <v>24</v>
      </c>
      <c r="M114" s="64"/>
    </row>
    <row r="115" spans="1:13" ht="16.5" customHeight="1" thickBot="1">
      <c r="A115" s="15" t="s">
        <v>60</v>
      </c>
      <c r="B115" s="2" t="s">
        <v>328</v>
      </c>
      <c r="C115" s="73">
        <v>16</v>
      </c>
      <c r="D115" s="18">
        <f t="shared" si="11"/>
        <v>16</v>
      </c>
      <c r="E115" s="19">
        <f t="shared" si="9"/>
        <v>1</v>
      </c>
      <c r="F115" s="73">
        <v>15</v>
      </c>
      <c r="G115" s="20">
        <v>45106</v>
      </c>
      <c r="H115" s="70">
        <f t="shared" si="10"/>
        <v>0.9375</v>
      </c>
      <c r="I115" s="79">
        <v>1</v>
      </c>
      <c r="J115" s="79">
        <v>2</v>
      </c>
      <c r="K115" s="104"/>
      <c r="L115" s="46">
        <f>4+1</f>
        <v>5</v>
      </c>
      <c r="M115" s="64"/>
    </row>
    <row r="116" spans="1:13" ht="16.5" customHeight="1" thickBot="1">
      <c r="A116" s="15" t="s">
        <v>61</v>
      </c>
      <c r="B116" s="2" t="s">
        <v>329</v>
      </c>
      <c r="C116" s="73">
        <v>232</v>
      </c>
      <c r="D116" s="18">
        <f t="shared" si="11"/>
        <v>232</v>
      </c>
      <c r="E116" s="19">
        <f t="shared" si="9"/>
        <v>45</v>
      </c>
      <c r="F116" s="73">
        <v>187</v>
      </c>
      <c r="G116" s="20">
        <v>45106</v>
      </c>
      <c r="H116" s="70">
        <f t="shared" si="10"/>
        <v>0.8060344827586207</v>
      </c>
      <c r="I116" s="79">
        <v>2</v>
      </c>
      <c r="J116" s="79">
        <v>10</v>
      </c>
      <c r="K116" s="104"/>
      <c r="L116" s="46">
        <f>24+1+1+3</f>
        <v>29</v>
      </c>
      <c r="M116" s="140"/>
    </row>
    <row r="117" spans="1:13" ht="16.5" customHeight="1" thickBot="1">
      <c r="A117" s="15" t="s">
        <v>62</v>
      </c>
      <c r="B117" s="2" t="s">
        <v>330</v>
      </c>
      <c r="C117" s="73">
        <v>191</v>
      </c>
      <c r="D117" s="18">
        <f t="shared" si="11"/>
        <v>191</v>
      </c>
      <c r="E117" s="19">
        <f t="shared" si="9"/>
        <v>33</v>
      </c>
      <c r="F117" s="73">
        <v>158</v>
      </c>
      <c r="G117" s="20">
        <v>45134</v>
      </c>
      <c r="H117" s="70">
        <f t="shared" si="10"/>
        <v>0.8272251308900523</v>
      </c>
      <c r="I117" s="79">
        <v>2</v>
      </c>
      <c r="J117" s="79">
        <v>11</v>
      </c>
      <c r="K117" s="104"/>
      <c r="L117" s="46">
        <f>25+2+1+1+2</f>
        <v>31</v>
      </c>
      <c r="M117" s="140"/>
    </row>
    <row r="118" spans="1:13" ht="16.5" customHeight="1" thickBot="1">
      <c r="A118" s="15" t="s">
        <v>63</v>
      </c>
      <c r="B118" s="2" t="s">
        <v>331</v>
      </c>
      <c r="C118" s="73">
        <v>81</v>
      </c>
      <c r="D118" s="18">
        <f t="shared" si="11"/>
        <v>81</v>
      </c>
      <c r="E118" s="19">
        <f t="shared" si="9"/>
        <v>3</v>
      </c>
      <c r="F118" s="73">
        <v>78</v>
      </c>
      <c r="G118" s="20">
        <v>45106</v>
      </c>
      <c r="H118" s="70">
        <f t="shared" si="10"/>
        <v>0.9629629629629629</v>
      </c>
      <c r="I118" s="79">
        <v>4</v>
      </c>
      <c r="J118" s="79">
        <v>4</v>
      </c>
      <c r="K118" s="104">
        <v>2</v>
      </c>
      <c r="L118" s="73">
        <f>18+1+1+1</f>
        <v>21</v>
      </c>
      <c r="M118" s="140"/>
    </row>
    <row r="119" spans="1:13" ht="16.5" customHeight="1" thickBot="1">
      <c r="A119" s="15" t="s">
        <v>64</v>
      </c>
      <c r="B119" s="2" t="s">
        <v>332</v>
      </c>
      <c r="C119" s="73">
        <v>289</v>
      </c>
      <c r="D119" s="18">
        <f t="shared" si="11"/>
        <v>289</v>
      </c>
      <c r="E119" s="19">
        <f t="shared" si="9"/>
        <v>4</v>
      </c>
      <c r="F119" s="73">
        <v>285</v>
      </c>
      <c r="G119" s="20">
        <v>45134</v>
      </c>
      <c r="H119" s="70">
        <f t="shared" si="10"/>
        <v>0.986159169550173</v>
      </c>
      <c r="I119" s="79">
        <v>3</v>
      </c>
      <c r="J119" s="79">
        <v>20</v>
      </c>
      <c r="K119" s="104">
        <v>14</v>
      </c>
      <c r="L119" s="46">
        <f>49+2+1+1</f>
        <v>53</v>
      </c>
      <c r="M119" s="140">
        <v>15</v>
      </c>
    </row>
    <row r="120" spans="1:13" ht="16.5" customHeight="1" thickBot="1">
      <c r="A120" s="15" t="s">
        <v>65</v>
      </c>
      <c r="B120" s="2" t="s">
        <v>333</v>
      </c>
      <c r="C120" s="73">
        <v>23</v>
      </c>
      <c r="D120" s="18">
        <f t="shared" si="11"/>
        <v>23</v>
      </c>
      <c r="E120" s="19">
        <f t="shared" si="9"/>
        <v>4</v>
      </c>
      <c r="F120" s="73">
        <v>19</v>
      </c>
      <c r="G120" s="20">
        <v>45093</v>
      </c>
      <c r="H120" s="70">
        <f t="shared" si="10"/>
        <v>0.8260869565217391</v>
      </c>
      <c r="I120" s="79"/>
      <c r="J120" s="79">
        <v>2</v>
      </c>
      <c r="K120" s="104"/>
      <c r="L120" s="46">
        <f>6+1</f>
        <v>7</v>
      </c>
      <c r="M120" s="64"/>
    </row>
    <row r="121" spans="1:13" ht="16.5" customHeight="1" thickBot="1">
      <c r="A121" s="15" t="s">
        <v>66</v>
      </c>
      <c r="B121" s="2" t="s">
        <v>334</v>
      </c>
      <c r="C121" s="73">
        <v>23</v>
      </c>
      <c r="D121" s="18">
        <f t="shared" si="11"/>
        <v>23</v>
      </c>
      <c r="E121" s="19">
        <f t="shared" si="9"/>
        <v>4</v>
      </c>
      <c r="F121" s="73">
        <v>19</v>
      </c>
      <c r="G121" s="20">
        <v>45078</v>
      </c>
      <c r="H121" s="70">
        <f t="shared" si="10"/>
        <v>0.8260869565217391</v>
      </c>
      <c r="I121" s="79"/>
      <c r="J121" s="79">
        <v>2</v>
      </c>
      <c r="K121" s="104"/>
      <c r="L121" s="46">
        <f>1+1</f>
        <v>2</v>
      </c>
      <c r="M121" s="137"/>
    </row>
    <row r="122" spans="1:13" ht="16.5" customHeight="1" thickBot="1">
      <c r="A122" s="15" t="s">
        <v>67</v>
      </c>
      <c r="B122" s="2" t="s">
        <v>335</v>
      </c>
      <c r="C122" s="73">
        <v>47</v>
      </c>
      <c r="D122" s="18">
        <f t="shared" si="11"/>
        <v>47</v>
      </c>
      <c r="E122" s="19">
        <f t="shared" si="9"/>
        <v>-2</v>
      </c>
      <c r="F122" s="73">
        <v>49</v>
      </c>
      <c r="G122" s="20">
        <v>45071</v>
      </c>
      <c r="H122" s="100">
        <f t="shared" si="10"/>
        <v>1.0425531914893618</v>
      </c>
      <c r="I122" s="79">
        <v>4</v>
      </c>
      <c r="J122" s="79">
        <v>10</v>
      </c>
      <c r="K122" s="104">
        <v>3</v>
      </c>
      <c r="L122" s="46">
        <f>6+1+1</f>
        <v>8</v>
      </c>
      <c r="M122" s="137"/>
    </row>
    <row r="123" spans="1:13" ht="16.5" customHeight="1" thickBot="1">
      <c r="A123" s="15" t="s">
        <v>68</v>
      </c>
      <c r="B123" s="2" t="s">
        <v>336</v>
      </c>
      <c r="C123" s="73">
        <v>27</v>
      </c>
      <c r="D123" s="18">
        <f t="shared" si="11"/>
        <v>27</v>
      </c>
      <c r="E123" s="19">
        <f t="shared" si="9"/>
        <v>5</v>
      </c>
      <c r="F123" s="73">
        <v>22</v>
      </c>
      <c r="G123" s="20">
        <v>45093</v>
      </c>
      <c r="H123" s="70">
        <f t="shared" si="10"/>
        <v>0.8148148148148148</v>
      </c>
      <c r="I123" s="79"/>
      <c r="J123" s="79">
        <v>3</v>
      </c>
      <c r="K123" s="104"/>
      <c r="L123" s="46">
        <f>4+1</f>
        <v>5</v>
      </c>
      <c r="M123" s="140"/>
    </row>
    <row r="124" spans="1:13" ht="16.5" customHeight="1" thickBot="1">
      <c r="A124" s="15" t="s">
        <v>69</v>
      </c>
      <c r="B124" s="2" t="s">
        <v>337</v>
      </c>
      <c r="C124" s="73">
        <v>46</v>
      </c>
      <c r="D124" s="18">
        <f t="shared" si="11"/>
        <v>46</v>
      </c>
      <c r="E124" s="19">
        <f t="shared" si="9"/>
        <v>1</v>
      </c>
      <c r="F124" s="73">
        <v>45</v>
      </c>
      <c r="G124" s="20">
        <v>45106</v>
      </c>
      <c r="H124" s="70">
        <f t="shared" si="10"/>
        <v>0.9782608695652174</v>
      </c>
      <c r="I124" s="79">
        <v>2</v>
      </c>
      <c r="J124" s="79">
        <v>9</v>
      </c>
      <c r="K124" s="104"/>
      <c r="L124" s="46">
        <f>11+1</f>
        <v>12</v>
      </c>
      <c r="M124" s="64"/>
    </row>
    <row r="125" spans="1:13" ht="16.5" customHeight="1" thickBot="1">
      <c r="A125" s="15" t="s">
        <v>70</v>
      </c>
      <c r="B125" s="2" t="s">
        <v>338</v>
      </c>
      <c r="C125" s="73">
        <v>192</v>
      </c>
      <c r="D125" s="18">
        <f t="shared" si="11"/>
        <v>192</v>
      </c>
      <c r="E125" s="19">
        <f t="shared" si="9"/>
        <v>16</v>
      </c>
      <c r="F125" s="73">
        <v>176</v>
      </c>
      <c r="G125" s="20">
        <v>45093</v>
      </c>
      <c r="H125" s="70">
        <f t="shared" si="10"/>
        <v>0.9166666666666666</v>
      </c>
      <c r="I125" s="79">
        <v>6</v>
      </c>
      <c r="J125" s="79">
        <v>17</v>
      </c>
      <c r="K125" s="104"/>
      <c r="L125" s="46">
        <f>24+3+2+1+1</f>
        <v>31</v>
      </c>
      <c r="M125" s="140">
        <v>1</v>
      </c>
    </row>
    <row r="126" spans="1:13" ht="16.5" customHeight="1" thickBot="1">
      <c r="A126" s="15" t="s">
        <v>71</v>
      </c>
      <c r="B126" s="2" t="s">
        <v>339</v>
      </c>
      <c r="C126" s="73">
        <v>91</v>
      </c>
      <c r="D126" s="18">
        <f t="shared" si="11"/>
        <v>91</v>
      </c>
      <c r="E126" s="19">
        <f t="shared" si="9"/>
        <v>14</v>
      </c>
      <c r="F126" s="73">
        <v>77</v>
      </c>
      <c r="G126" s="20">
        <v>45106</v>
      </c>
      <c r="H126" s="70">
        <f t="shared" si="10"/>
        <v>0.8461538461538461</v>
      </c>
      <c r="I126" s="79"/>
      <c r="J126" s="79">
        <v>7</v>
      </c>
      <c r="K126" s="104">
        <v>1</v>
      </c>
      <c r="L126" s="46">
        <f>7+1</f>
        <v>8</v>
      </c>
      <c r="M126" s="64"/>
    </row>
    <row r="127" spans="1:13" ht="16.5" customHeight="1" thickBot="1">
      <c r="A127" s="15" t="s">
        <v>72</v>
      </c>
      <c r="B127" s="2" t="s">
        <v>340</v>
      </c>
      <c r="C127" s="73">
        <v>317</v>
      </c>
      <c r="D127" s="18">
        <f t="shared" si="11"/>
        <v>317</v>
      </c>
      <c r="E127" s="19">
        <f t="shared" si="9"/>
        <v>4</v>
      </c>
      <c r="F127" s="73">
        <v>313</v>
      </c>
      <c r="G127" s="20">
        <v>45134</v>
      </c>
      <c r="H127" s="70">
        <f t="shared" si="10"/>
        <v>0.9873817034700315</v>
      </c>
      <c r="I127" s="79">
        <v>11</v>
      </c>
      <c r="J127" s="79">
        <v>26</v>
      </c>
      <c r="K127" s="104"/>
      <c r="L127" s="46">
        <f>31+1+1+1</f>
        <v>34</v>
      </c>
      <c r="M127" s="64"/>
    </row>
    <row r="128" spans="1:13" ht="16.5" customHeight="1" thickBot="1">
      <c r="A128" s="15" t="s">
        <v>73</v>
      </c>
      <c r="B128" s="2" t="s">
        <v>341</v>
      </c>
      <c r="C128" s="73">
        <v>73</v>
      </c>
      <c r="D128" s="18">
        <f t="shared" si="11"/>
        <v>73</v>
      </c>
      <c r="E128" s="19">
        <f t="shared" si="9"/>
        <v>17</v>
      </c>
      <c r="F128" s="73">
        <v>56</v>
      </c>
      <c r="G128" s="20">
        <v>45036</v>
      </c>
      <c r="H128" s="70">
        <f t="shared" si="10"/>
        <v>0.7671232876712328</v>
      </c>
      <c r="I128" s="79"/>
      <c r="J128" s="79">
        <v>5</v>
      </c>
      <c r="K128" s="104"/>
      <c r="L128" s="46">
        <f>11+1</f>
        <v>12</v>
      </c>
      <c r="M128" s="137"/>
    </row>
    <row r="129" spans="1:13" ht="16.5" customHeight="1" thickBot="1">
      <c r="A129" s="15" t="s">
        <v>74</v>
      </c>
      <c r="B129" s="2" t="s">
        <v>342</v>
      </c>
      <c r="C129" s="73">
        <v>108</v>
      </c>
      <c r="D129" s="18">
        <f t="shared" si="11"/>
        <v>108</v>
      </c>
      <c r="E129" s="19">
        <f t="shared" si="9"/>
        <v>6</v>
      </c>
      <c r="F129" s="73">
        <v>102</v>
      </c>
      <c r="G129" s="20">
        <v>45106</v>
      </c>
      <c r="H129" s="70">
        <f t="shared" si="10"/>
        <v>0.9444444444444444</v>
      </c>
      <c r="I129" s="79">
        <v>2</v>
      </c>
      <c r="J129" s="79">
        <v>6</v>
      </c>
      <c r="K129" s="104">
        <v>1</v>
      </c>
      <c r="L129" s="46">
        <f>15+1+1</f>
        <v>17</v>
      </c>
      <c r="M129" s="137"/>
    </row>
    <row r="130" spans="1:13" ht="16.5" customHeight="1" thickBot="1">
      <c r="A130" s="15" t="s">
        <v>75</v>
      </c>
      <c r="B130" s="2" t="s">
        <v>343</v>
      </c>
      <c r="C130" s="73">
        <v>124</v>
      </c>
      <c r="D130" s="18">
        <f t="shared" si="11"/>
        <v>124</v>
      </c>
      <c r="E130" s="19">
        <f t="shared" si="9"/>
        <v>20</v>
      </c>
      <c r="F130" s="73">
        <v>104</v>
      </c>
      <c r="G130" s="20">
        <v>45134</v>
      </c>
      <c r="H130" s="70">
        <f t="shared" si="10"/>
        <v>0.8387096774193549</v>
      </c>
      <c r="I130" s="79"/>
      <c r="J130" s="79">
        <v>12</v>
      </c>
      <c r="K130" s="104"/>
      <c r="L130" s="46">
        <f>19+2</f>
        <v>21</v>
      </c>
      <c r="M130" s="137"/>
    </row>
    <row r="131" spans="1:13" ht="16.5" customHeight="1" thickBot="1">
      <c r="A131" s="15" t="s">
        <v>76</v>
      </c>
      <c r="B131" s="2" t="s">
        <v>344</v>
      </c>
      <c r="C131" s="73">
        <v>31</v>
      </c>
      <c r="D131" s="18">
        <f t="shared" si="11"/>
        <v>31</v>
      </c>
      <c r="E131" s="19">
        <f t="shared" si="9"/>
        <v>5</v>
      </c>
      <c r="F131" s="73">
        <v>26</v>
      </c>
      <c r="G131" s="20">
        <v>44811</v>
      </c>
      <c r="H131" s="70">
        <f t="shared" si="10"/>
        <v>0.8387096774193549</v>
      </c>
      <c r="I131" s="79"/>
      <c r="J131" s="79">
        <v>5</v>
      </c>
      <c r="K131" s="104"/>
      <c r="L131" s="46">
        <v>4</v>
      </c>
      <c r="M131" s="137"/>
    </row>
    <row r="132" spans="1:13" ht="16.5" customHeight="1" thickBot="1">
      <c r="A132" s="15" t="s">
        <v>77</v>
      </c>
      <c r="B132" s="2" t="s">
        <v>345</v>
      </c>
      <c r="C132" s="73">
        <v>101</v>
      </c>
      <c r="D132" s="18">
        <f t="shared" si="11"/>
        <v>101</v>
      </c>
      <c r="E132" s="19">
        <f t="shared" si="9"/>
        <v>11</v>
      </c>
      <c r="F132" s="73">
        <v>90</v>
      </c>
      <c r="G132" s="20">
        <v>45050</v>
      </c>
      <c r="H132" s="70">
        <f t="shared" si="10"/>
        <v>0.8910891089108911</v>
      </c>
      <c r="I132" s="79">
        <v>7</v>
      </c>
      <c r="J132" s="79">
        <v>7</v>
      </c>
      <c r="K132" s="104"/>
      <c r="L132" s="46">
        <v>16</v>
      </c>
      <c r="M132" s="137"/>
    </row>
    <row r="133" spans="1:13" ht="16.5" customHeight="1" thickBot="1">
      <c r="A133" s="15" t="s">
        <v>78</v>
      </c>
      <c r="B133" s="2" t="s">
        <v>346</v>
      </c>
      <c r="C133" s="73">
        <v>20</v>
      </c>
      <c r="D133" s="18">
        <f t="shared" si="11"/>
        <v>20</v>
      </c>
      <c r="E133" s="19">
        <f t="shared" si="9"/>
        <v>5</v>
      </c>
      <c r="F133" s="73">
        <v>15</v>
      </c>
      <c r="G133" s="20">
        <v>44881</v>
      </c>
      <c r="H133" s="70">
        <f t="shared" si="10"/>
        <v>0.75</v>
      </c>
      <c r="I133" s="79"/>
      <c r="J133" s="79">
        <v>2</v>
      </c>
      <c r="K133" s="104"/>
      <c r="L133" s="46">
        <v>3</v>
      </c>
      <c r="M133" s="64"/>
    </row>
    <row r="134" spans="1:13" ht="16.5" customHeight="1" thickBot="1">
      <c r="A134" s="15" t="s">
        <v>79</v>
      </c>
      <c r="B134" s="2" t="s">
        <v>347</v>
      </c>
      <c r="C134" s="73">
        <v>208</v>
      </c>
      <c r="D134" s="18">
        <f t="shared" si="11"/>
        <v>208</v>
      </c>
      <c r="E134" s="19">
        <f t="shared" si="9"/>
        <v>-11</v>
      </c>
      <c r="F134" s="73">
        <v>219</v>
      </c>
      <c r="G134" s="20">
        <v>45134</v>
      </c>
      <c r="H134" s="151">
        <f t="shared" si="10"/>
        <v>1.0528846153846154</v>
      </c>
      <c r="I134" s="79">
        <v>11</v>
      </c>
      <c r="J134" s="79">
        <v>15</v>
      </c>
      <c r="K134" s="104">
        <v>1</v>
      </c>
      <c r="L134" s="46">
        <f>38+2+1+1</f>
        <v>42</v>
      </c>
      <c r="M134" s="64"/>
    </row>
    <row r="135" spans="1:13" ht="16.5" customHeight="1" thickBot="1">
      <c r="A135" s="15" t="s">
        <v>80</v>
      </c>
      <c r="B135" s="2" t="s">
        <v>348</v>
      </c>
      <c r="C135" s="73">
        <v>124</v>
      </c>
      <c r="D135" s="18">
        <f t="shared" si="11"/>
        <v>124</v>
      </c>
      <c r="E135" s="19">
        <f t="shared" si="9"/>
        <v>10</v>
      </c>
      <c r="F135" s="73">
        <v>114</v>
      </c>
      <c r="G135" s="20">
        <v>45107</v>
      </c>
      <c r="H135" s="70">
        <f t="shared" si="10"/>
        <v>0.9193548387096774</v>
      </c>
      <c r="I135" s="79">
        <v>2</v>
      </c>
      <c r="J135" s="79">
        <v>14</v>
      </c>
      <c r="K135" s="104"/>
      <c r="L135" s="46">
        <f>7+1+1+1</f>
        <v>10</v>
      </c>
      <c r="M135" s="64"/>
    </row>
    <row r="136" spans="1:13" ht="16.5" customHeight="1" thickBot="1">
      <c r="A136" s="15" t="s">
        <v>81</v>
      </c>
      <c r="B136" s="2" t="s">
        <v>349</v>
      </c>
      <c r="C136" s="73">
        <v>64</v>
      </c>
      <c r="D136" s="18">
        <f t="shared" si="11"/>
        <v>64</v>
      </c>
      <c r="E136" s="19">
        <f t="shared" si="9"/>
        <v>2</v>
      </c>
      <c r="F136" s="73">
        <v>62</v>
      </c>
      <c r="G136" s="20">
        <v>45106</v>
      </c>
      <c r="H136" s="70">
        <f t="shared" si="10"/>
        <v>0.96875</v>
      </c>
      <c r="I136" s="79"/>
      <c r="J136" s="79">
        <v>4</v>
      </c>
      <c r="K136" s="104"/>
      <c r="L136" s="46">
        <f>10+2+1</f>
        <v>13</v>
      </c>
      <c r="M136" s="64"/>
    </row>
    <row r="137" spans="1:13" ht="16.5" customHeight="1" thickBot="1">
      <c r="A137" s="15" t="s">
        <v>82</v>
      </c>
      <c r="B137" s="2" t="s">
        <v>350</v>
      </c>
      <c r="C137" s="73">
        <v>38</v>
      </c>
      <c r="D137" s="18">
        <f t="shared" si="11"/>
        <v>38</v>
      </c>
      <c r="E137" s="19">
        <f t="shared" si="9"/>
        <v>5</v>
      </c>
      <c r="F137" s="73">
        <v>33</v>
      </c>
      <c r="G137" s="20">
        <v>44979</v>
      </c>
      <c r="H137" s="70">
        <f t="shared" si="10"/>
        <v>0.868421052631579</v>
      </c>
      <c r="I137" s="79"/>
      <c r="J137" s="79">
        <v>2</v>
      </c>
      <c r="K137" s="104">
        <v>1</v>
      </c>
      <c r="L137" s="46">
        <f>7+3</f>
        <v>10</v>
      </c>
      <c r="M137" s="64"/>
    </row>
    <row r="138" spans="1:13" ht="16.5" customHeight="1" thickBot="1">
      <c r="A138" s="15" t="s">
        <v>83</v>
      </c>
      <c r="B138" s="2" t="s">
        <v>351</v>
      </c>
      <c r="C138" s="73">
        <v>35</v>
      </c>
      <c r="D138" s="18">
        <f t="shared" si="11"/>
        <v>35</v>
      </c>
      <c r="E138" s="19">
        <f t="shared" si="9"/>
        <v>3</v>
      </c>
      <c r="F138" s="73">
        <v>32</v>
      </c>
      <c r="G138" s="20">
        <v>45007</v>
      </c>
      <c r="H138" s="70">
        <f t="shared" si="10"/>
        <v>0.9142857142857143</v>
      </c>
      <c r="I138" s="79"/>
      <c r="J138" s="79">
        <v>2</v>
      </c>
      <c r="K138" s="104"/>
      <c r="L138" s="46">
        <f>6+2+1</f>
        <v>9</v>
      </c>
      <c r="M138" s="137"/>
    </row>
    <row r="139" spans="1:19" ht="16.5" customHeight="1" thickBot="1">
      <c r="A139" s="15" t="s">
        <v>84</v>
      </c>
      <c r="B139" s="2" t="s">
        <v>352</v>
      </c>
      <c r="C139" s="73">
        <v>29</v>
      </c>
      <c r="D139" s="18">
        <f t="shared" si="11"/>
        <v>29</v>
      </c>
      <c r="E139" s="19">
        <f t="shared" si="9"/>
        <v>5</v>
      </c>
      <c r="F139" s="73">
        <v>24</v>
      </c>
      <c r="G139" s="20">
        <v>45029</v>
      </c>
      <c r="H139" s="70">
        <f t="shared" si="10"/>
        <v>0.8275862068965517</v>
      </c>
      <c r="I139" s="79"/>
      <c r="J139" s="79">
        <v>3</v>
      </c>
      <c r="K139" s="104"/>
      <c r="L139" s="46">
        <f>16+1+1</f>
        <v>18</v>
      </c>
      <c r="M139" s="64"/>
      <c r="S139" s="29"/>
    </row>
    <row r="140" spans="1:13" ht="16.5" customHeight="1" thickBot="1">
      <c r="A140" s="15" t="s">
        <v>85</v>
      </c>
      <c r="B140" s="2" t="s">
        <v>353</v>
      </c>
      <c r="C140" s="80">
        <v>15</v>
      </c>
      <c r="D140" s="18">
        <f t="shared" si="11"/>
        <v>15</v>
      </c>
      <c r="E140" s="19">
        <f t="shared" si="9"/>
        <v>3</v>
      </c>
      <c r="F140" s="73">
        <v>12</v>
      </c>
      <c r="G140" s="20">
        <v>44881</v>
      </c>
      <c r="H140" s="70">
        <f t="shared" si="10"/>
        <v>0.8</v>
      </c>
      <c r="I140" s="79"/>
      <c r="J140" s="79">
        <v>3</v>
      </c>
      <c r="K140" s="104"/>
      <c r="L140" s="46">
        <v>0</v>
      </c>
      <c r="M140" s="64"/>
    </row>
    <row r="141" spans="1:13" ht="16.5" customHeight="1" thickBot="1">
      <c r="A141" s="15" t="s">
        <v>86</v>
      </c>
      <c r="B141" s="2" t="s">
        <v>354</v>
      </c>
      <c r="C141" s="73">
        <v>65</v>
      </c>
      <c r="D141" s="18">
        <f t="shared" si="11"/>
        <v>65</v>
      </c>
      <c r="E141" s="19">
        <f t="shared" si="9"/>
        <v>9</v>
      </c>
      <c r="F141" s="73">
        <v>56</v>
      </c>
      <c r="G141" s="20">
        <v>45093</v>
      </c>
      <c r="H141" s="70">
        <f t="shared" si="10"/>
        <v>0.8615384615384616</v>
      </c>
      <c r="I141" s="79"/>
      <c r="J141" s="79">
        <v>4</v>
      </c>
      <c r="K141" s="104"/>
      <c r="L141" s="46">
        <f>6+1</f>
        <v>7</v>
      </c>
      <c r="M141" s="64"/>
    </row>
    <row r="142" spans="1:13" ht="16.5" customHeight="1" thickBot="1">
      <c r="A142" s="15" t="s">
        <v>87</v>
      </c>
      <c r="B142" s="2" t="s">
        <v>355</v>
      </c>
      <c r="C142" s="73">
        <v>54</v>
      </c>
      <c r="D142" s="18">
        <f t="shared" si="11"/>
        <v>54</v>
      </c>
      <c r="E142" s="19">
        <f t="shared" si="9"/>
        <v>9</v>
      </c>
      <c r="F142" s="73">
        <v>45</v>
      </c>
      <c r="G142" s="20">
        <v>44944</v>
      </c>
      <c r="H142" s="70">
        <f t="shared" si="10"/>
        <v>0.8333333333333334</v>
      </c>
      <c r="I142" s="79"/>
      <c r="J142" s="79">
        <v>9</v>
      </c>
      <c r="K142" s="104"/>
      <c r="L142" s="46">
        <v>7</v>
      </c>
      <c r="M142" s="64"/>
    </row>
    <row r="143" spans="1:13" ht="16.5" customHeight="1" thickBot="1">
      <c r="A143" s="15" t="s">
        <v>88</v>
      </c>
      <c r="B143" s="2" t="s">
        <v>356</v>
      </c>
      <c r="C143" s="73">
        <v>29</v>
      </c>
      <c r="D143" s="18">
        <f t="shared" si="11"/>
        <v>29</v>
      </c>
      <c r="E143" s="19">
        <f t="shared" si="9"/>
        <v>6</v>
      </c>
      <c r="F143" s="73">
        <v>23</v>
      </c>
      <c r="G143" s="20">
        <v>45050</v>
      </c>
      <c r="H143" s="70">
        <f t="shared" si="10"/>
        <v>0.7931034482758621</v>
      </c>
      <c r="I143" s="79"/>
      <c r="J143" s="79">
        <v>3</v>
      </c>
      <c r="K143" s="104"/>
      <c r="L143" s="46">
        <f>5+1+1</f>
        <v>7</v>
      </c>
      <c r="M143" s="140"/>
    </row>
    <row r="144" spans="1:13" ht="16.5" customHeight="1" thickBot="1">
      <c r="A144" s="15" t="s">
        <v>89</v>
      </c>
      <c r="B144" s="2" t="s">
        <v>357</v>
      </c>
      <c r="C144" s="73">
        <v>163</v>
      </c>
      <c r="D144" s="18">
        <f t="shared" si="11"/>
        <v>163</v>
      </c>
      <c r="E144" s="19">
        <f t="shared" si="9"/>
        <v>18</v>
      </c>
      <c r="F144" s="73">
        <v>145</v>
      </c>
      <c r="G144" s="20">
        <v>45093</v>
      </c>
      <c r="H144" s="70">
        <f t="shared" si="10"/>
        <v>0.8895705521472392</v>
      </c>
      <c r="I144" s="79">
        <v>9</v>
      </c>
      <c r="J144" s="79">
        <v>14</v>
      </c>
      <c r="K144" s="104"/>
      <c r="L144" s="46">
        <f>27+1+2+1</f>
        <v>31</v>
      </c>
      <c r="M144" s="140"/>
    </row>
    <row r="145" spans="1:13" ht="16.5" customHeight="1" thickBot="1">
      <c r="A145" s="154" t="s">
        <v>90</v>
      </c>
      <c r="B145" s="2" t="s">
        <v>358</v>
      </c>
      <c r="C145" s="73">
        <v>18</v>
      </c>
      <c r="D145" s="18">
        <f t="shared" si="11"/>
        <v>18</v>
      </c>
      <c r="E145" s="19">
        <f t="shared" si="9"/>
        <v>-1</v>
      </c>
      <c r="F145" s="117">
        <v>19</v>
      </c>
      <c r="G145" s="20">
        <v>45028</v>
      </c>
      <c r="H145" s="100">
        <f t="shared" si="10"/>
        <v>1.0555555555555556</v>
      </c>
      <c r="I145" s="79">
        <v>2</v>
      </c>
      <c r="J145" s="79">
        <v>1</v>
      </c>
      <c r="K145" s="104"/>
      <c r="L145" s="46">
        <f>3+1+2</f>
        <v>6</v>
      </c>
      <c r="M145" s="140"/>
    </row>
    <row r="146" spans="1:13" ht="16.5" customHeight="1" thickBot="1">
      <c r="A146" s="15" t="s">
        <v>91</v>
      </c>
      <c r="B146" s="2" t="s">
        <v>359</v>
      </c>
      <c r="C146" s="73">
        <v>56</v>
      </c>
      <c r="D146" s="18">
        <f t="shared" si="11"/>
        <v>56</v>
      </c>
      <c r="E146" s="19">
        <f t="shared" si="9"/>
        <v>-1</v>
      </c>
      <c r="F146" s="73">
        <v>57</v>
      </c>
      <c r="G146" s="20">
        <v>45134</v>
      </c>
      <c r="H146" s="100">
        <f t="shared" si="10"/>
        <v>1.0178571428571428</v>
      </c>
      <c r="I146" s="79"/>
      <c r="J146" s="79">
        <v>14</v>
      </c>
      <c r="K146" s="104"/>
      <c r="L146" s="46">
        <f>10+1</f>
        <v>11</v>
      </c>
      <c r="M146" s="140"/>
    </row>
    <row r="147" spans="1:13" ht="16.5" customHeight="1" thickBot="1">
      <c r="A147" s="15" t="s">
        <v>92</v>
      </c>
      <c r="B147" s="2" t="s">
        <v>360</v>
      </c>
      <c r="C147" s="73">
        <v>46</v>
      </c>
      <c r="D147" s="18">
        <f t="shared" si="11"/>
        <v>46</v>
      </c>
      <c r="E147" s="19">
        <f t="shared" si="9"/>
        <v>7</v>
      </c>
      <c r="F147" s="73">
        <v>39</v>
      </c>
      <c r="G147" s="20">
        <v>44994</v>
      </c>
      <c r="H147" s="70">
        <f t="shared" si="10"/>
        <v>0.8478260869565217</v>
      </c>
      <c r="I147" s="79">
        <v>1</v>
      </c>
      <c r="J147" s="79">
        <v>1</v>
      </c>
      <c r="K147" s="104"/>
      <c r="L147" s="46">
        <v>0</v>
      </c>
      <c r="M147" s="140"/>
    </row>
    <row r="148" spans="1:13" ht="16.5" customHeight="1" thickBot="1">
      <c r="A148" s="15" t="s">
        <v>93</v>
      </c>
      <c r="B148" s="2" t="s">
        <v>361</v>
      </c>
      <c r="C148" s="73">
        <v>20</v>
      </c>
      <c r="D148" s="18">
        <f t="shared" si="11"/>
        <v>20</v>
      </c>
      <c r="E148" s="19">
        <f t="shared" si="9"/>
        <v>0</v>
      </c>
      <c r="F148" s="73">
        <v>20</v>
      </c>
      <c r="G148" s="20">
        <v>45001</v>
      </c>
      <c r="H148" s="100">
        <f t="shared" si="10"/>
        <v>1</v>
      </c>
      <c r="I148" s="79">
        <v>1</v>
      </c>
      <c r="J148" s="79">
        <v>1</v>
      </c>
      <c r="K148" s="104"/>
      <c r="L148" s="46">
        <f>2+3+2</f>
        <v>7</v>
      </c>
      <c r="M148" s="140"/>
    </row>
    <row r="149" spans="1:13" ht="16.5" customHeight="1" thickBot="1">
      <c r="A149" s="15" t="s">
        <v>94</v>
      </c>
      <c r="B149" s="2" t="s">
        <v>362</v>
      </c>
      <c r="C149" s="73">
        <v>36</v>
      </c>
      <c r="D149" s="18">
        <f t="shared" si="11"/>
        <v>36</v>
      </c>
      <c r="E149" s="19">
        <f t="shared" si="9"/>
        <v>-1</v>
      </c>
      <c r="F149" s="73">
        <v>37</v>
      </c>
      <c r="G149" s="20">
        <v>44958</v>
      </c>
      <c r="H149" s="100">
        <f t="shared" si="10"/>
        <v>1.0277777777777777</v>
      </c>
      <c r="I149" s="79"/>
      <c r="J149" s="79">
        <v>2</v>
      </c>
      <c r="K149" s="104"/>
      <c r="L149" s="46">
        <v>2</v>
      </c>
      <c r="M149" s="140"/>
    </row>
    <row r="150" spans="1:13" ht="16.5" customHeight="1" thickBot="1">
      <c r="A150" s="15" t="s">
        <v>95</v>
      </c>
      <c r="B150" s="2" t="s">
        <v>363</v>
      </c>
      <c r="C150" s="73">
        <v>230</v>
      </c>
      <c r="D150" s="18">
        <f t="shared" si="11"/>
        <v>230</v>
      </c>
      <c r="E150" s="19">
        <f t="shared" si="9"/>
        <v>-2</v>
      </c>
      <c r="F150" s="73">
        <v>232</v>
      </c>
      <c r="G150" s="20">
        <v>45056</v>
      </c>
      <c r="H150" s="100">
        <f t="shared" si="10"/>
        <v>1.008695652173913</v>
      </c>
      <c r="I150" s="79">
        <v>14</v>
      </c>
      <c r="J150" s="79">
        <v>21</v>
      </c>
      <c r="K150" s="104">
        <v>1</v>
      </c>
      <c r="L150" s="46">
        <f>32+1+1</f>
        <v>34</v>
      </c>
      <c r="M150" s="140"/>
    </row>
    <row r="151" spans="1:13" ht="16.5" customHeight="1" thickBot="1">
      <c r="A151" s="15" t="s">
        <v>96</v>
      </c>
      <c r="B151" s="33" t="s">
        <v>364</v>
      </c>
      <c r="C151" s="73">
        <v>19</v>
      </c>
      <c r="D151" s="18">
        <f t="shared" si="11"/>
        <v>19</v>
      </c>
      <c r="E151" s="19">
        <f t="shared" si="9"/>
        <v>2</v>
      </c>
      <c r="F151" s="73">
        <v>17</v>
      </c>
      <c r="G151" s="20">
        <v>44902</v>
      </c>
      <c r="H151" s="70">
        <f t="shared" si="10"/>
        <v>0.8947368421052632</v>
      </c>
      <c r="I151" s="79"/>
      <c r="J151" s="79">
        <v>2</v>
      </c>
      <c r="K151" s="104"/>
      <c r="L151" s="46">
        <v>0</v>
      </c>
      <c r="M151" s="140"/>
    </row>
    <row r="152" spans="1:13" ht="16.5" customHeight="1" thickBot="1">
      <c r="A152" s="15" t="s">
        <v>97</v>
      </c>
      <c r="B152" s="33" t="s">
        <v>365</v>
      </c>
      <c r="C152" s="73">
        <v>76</v>
      </c>
      <c r="D152" s="18">
        <f t="shared" si="11"/>
        <v>76</v>
      </c>
      <c r="E152" s="19">
        <f t="shared" si="9"/>
        <v>12</v>
      </c>
      <c r="F152" s="73">
        <v>64</v>
      </c>
      <c r="G152" s="20">
        <v>44882</v>
      </c>
      <c r="H152" s="70">
        <f>SUM(F152/C152)</f>
        <v>0.8421052631578947</v>
      </c>
      <c r="I152" s="79"/>
      <c r="J152" s="79">
        <v>61</v>
      </c>
      <c r="K152" s="104"/>
      <c r="L152" s="46">
        <v>2</v>
      </c>
      <c r="M152" s="140"/>
    </row>
    <row r="153" spans="1:13" ht="16.5" customHeight="1" thickBot="1">
      <c r="A153" s="15" t="s">
        <v>98</v>
      </c>
      <c r="B153" s="33" t="s">
        <v>366</v>
      </c>
      <c r="C153" s="73">
        <v>168</v>
      </c>
      <c r="D153" s="18">
        <f t="shared" si="11"/>
        <v>168</v>
      </c>
      <c r="E153" s="19">
        <f t="shared" si="9"/>
        <v>-2</v>
      </c>
      <c r="F153" s="73">
        <v>170</v>
      </c>
      <c r="G153" s="20">
        <v>45071</v>
      </c>
      <c r="H153" s="100">
        <f>SUM(F153/C153)</f>
        <v>1.0119047619047619</v>
      </c>
      <c r="I153" s="112">
        <v>18</v>
      </c>
      <c r="J153" s="112">
        <v>16</v>
      </c>
      <c r="K153" s="104"/>
      <c r="L153" s="46">
        <f>21+1+4+3</f>
        <v>29</v>
      </c>
      <c r="M153" s="140"/>
    </row>
    <row r="154" spans="1:13" ht="16.5" customHeight="1" thickBot="1">
      <c r="A154" s="15" t="s">
        <v>99</v>
      </c>
      <c r="B154" s="26" t="s">
        <v>367</v>
      </c>
      <c r="C154" s="73">
        <v>149</v>
      </c>
      <c r="D154" s="18">
        <f t="shared" si="11"/>
        <v>149</v>
      </c>
      <c r="E154" s="19">
        <f t="shared" si="9"/>
        <v>14</v>
      </c>
      <c r="F154" s="73">
        <v>135</v>
      </c>
      <c r="G154" s="20">
        <v>45036</v>
      </c>
      <c r="H154" s="70">
        <f>SUM(F154/C154)</f>
        <v>0.9060402684563759</v>
      </c>
      <c r="I154" s="79">
        <v>1</v>
      </c>
      <c r="J154" s="79">
        <v>4</v>
      </c>
      <c r="K154" s="113"/>
      <c r="L154" s="46">
        <f>18+1+1</f>
        <v>20</v>
      </c>
      <c r="M154" s="139"/>
    </row>
    <row r="155" spans="1:13" ht="16.5" customHeight="1">
      <c r="A155" s="2"/>
      <c r="B155" s="14"/>
      <c r="C155" s="33"/>
      <c r="D155" s="53"/>
      <c r="E155" s="10"/>
      <c r="G155" s="23"/>
      <c r="I155" s="11"/>
      <c r="K155" s="2"/>
      <c r="M155" s="76"/>
    </row>
    <row r="156" spans="2:13" ht="16.5" customHeight="1" thickBot="1">
      <c r="B156" s="14" t="s">
        <v>650</v>
      </c>
      <c r="C156" s="126">
        <v>94</v>
      </c>
      <c r="D156" s="22"/>
      <c r="E156" s="27"/>
      <c r="H156" s="23"/>
      <c r="I156" s="11"/>
      <c r="K156" s="33"/>
      <c r="L156" s="33"/>
      <c r="M156" s="11"/>
    </row>
    <row r="157" spans="2:13" ht="16.5" customHeight="1" thickBot="1">
      <c r="B157" s="15" t="s">
        <v>288</v>
      </c>
      <c r="C157" s="18">
        <f>SUM(C101:C156)</f>
        <v>4814</v>
      </c>
      <c r="D157" s="18">
        <f>SUM(C157*1)</f>
        <v>4814</v>
      </c>
      <c r="E157" s="19">
        <f>SUM(D157-F157)</f>
        <v>412</v>
      </c>
      <c r="F157" s="17">
        <f>SUM(F101:F155)</f>
        <v>4402</v>
      </c>
      <c r="G157" s="20"/>
      <c r="H157" s="21">
        <f>SUM(F157/C157)</f>
        <v>0.9144162858329872</v>
      </c>
      <c r="I157" s="112">
        <f>+SUM(I101:I154)</f>
        <v>128</v>
      </c>
      <c r="J157" s="112">
        <f>+SUM(J101:J154)</f>
        <v>453</v>
      </c>
      <c r="K157" s="79">
        <f>SUM(K101:K154)</f>
        <v>32</v>
      </c>
      <c r="L157" s="17">
        <f>SUM(L101:L154)</f>
        <v>775</v>
      </c>
      <c r="M157" s="64">
        <f>SUM(M101:M154)</f>
        <v>20</v>
      </c>
    </row>
    <row r="158" spans="1:11" ht="16.5" customHeight="1">
      <c r="A158" s="106"/>
      <c r="B158" s="84" t="str">
        <f>A23</f>
        <v> TARGET DATE : 05/17/2023    100%</v>
      </c>
      <c r="C158" s="48"/>
      <c r="D158" s="22"/>
      <c r="E158" s="22"/>
      <c r="F158" s="22"/>
      <c r="G158" s="11"/>
      <c r="H158" s="23"/>
      <c r="I158" s="54"/>
      <c r="J158" s="54"/>
      <c r="K158" s="2"/>
    </row>
    <row r="159" spans="2:11" ht="16.5" customHeight="1">
      <c r="B159" s="42" t="s">
        <v>675</v>
      </c>
      <c r="C159" s="48"/>
      <c r="D159" s="8"/>
      <c r="E159" s="42"/>
      <c r="G159" s="11"/>
      <c r="H159" s="11"/>
      <c r="I159" s="54"/>
      <c r="J159" s="54"/>
      <c r="K159" s="2"/>
    </row>
    <row r="160" spans="2:11" ht="16.5" customHeight="1">
      <c r="B160" s="14"/>
      <c r="C160" s="2"/>
      <c r="G160" s="11"/>
      <c r="H160" s="11"/>
      <c r="I160" s="54"/>
      <c r="J160" s="54"/>
      <c r="K160" s="2"/>
    </row>
    <row r="161" spans="2:11" ht="16.5" customHeight="1">
      <c r="B161" s="14"/>
      <c r="C161" s="33"/>
      <c r="D161" s="53"/>
      <c r="E161" s="10"/>
      <c r="G161" s="23"/>
      <c r="I161" s="11"/>
      <c r="K161" s="2"/>
    </row>
    <row r="162" spans="1:11" ht="16.5" customHeight="1">
      <c r="A162" s="14"/>
      <c r="B162" s="14"/>
      <c r="C162" s="33"/>
      <c r="D162" s="53"/>
      <c r="E162" s="10"/>
      <c r="G162" s="23"/>
      <c r="I162" s="11"/>
      <c r="K162" s="2"/>
    </row>
    <row r="163" spans="1:11" ht="16.5" customHeight="1">
      <c r="A163" s="2" t="s">
        <v>368</v>
      </c>
      <c r="B163" s="15"/>
      <c r="C163" s="26"/>
      <c r="D163" s="22"/>
      <c r="E163" s="22"/>
      <c r="G163" s="25"/>
      <c r="H163" s="77">
        <f>F3</f>
        <v>45134</v>
      </c>
      <c r="I163" s="11"/>
      <c r="K163" s="2"/>
    </row>
    <row r="164" spans="1:11" ht="16.5" customHeight="1">
      <c r="A164" s="14" t="s">
        <v>639</v>
      </c>
      <c r="H164" s="16"/>
      <c r="I164" s="11"/>
      <c r="K164" s="2"/>
    </row>
    <row r="165" spans="3:13" ht="16.5" customHeight="1">
      <c r="C165" s="22"/>
      <c r="D165" s="22"/>
      <c r="E165" s="22"/>
      <c r="G165" s="23"/>
      <c r="H165" s="24"/>
      <c r="I165" s="11"/>
      <c r="K165" s="3" t="s">
        <v>627</v>
      </c>
      <c r="L165" s="11" t="s">
        <v>574</v>
      </c>
      <c r="M165" s="3" t="s">
        <v>652</v>
      </c>
    </row>
    <row r="166" spans="3:13" ht="16.5" customHeight="1">
      <c r="C166" s="8">
        <f>C7</f>
        <v>2023</v>
      </c>
      <c r="D166" s="4">
        <f>D7</f>
        <v>1</v>
      </c>
      <c r="E166" s="8" t="s">
        <v>547</v>
      </c>
      <c r="F166" s="3" t="s">
        <v>548</v>
      </c>
      <c r="G166" s="5" t="s">
        <v>550</v>
      </c>
      <c r="H166" s="38" t="s">
        <v>559</v>
      </c>
      <c r="I166" s="11"/>
      <c r="K166" s="3" t="s">
        <v>561</v>
      </c>
      <c r="L166" s="11" t="s">
        <v>578</v>
      </c>
      <c r="M166" s="3" t="s">
        <v>561</v>
      </c>
    </row>
    <row r="167" spans="1:13" ht="16.5" customHeight="1" thickBot="1">
      <c r="A167" s="2"/>
      <c r="C167" s="8" t="s">
        <v>558</v>
      </c>
      <c r="D167" s="8" t="s">
        <v>546</v>
      </c>
      <c r="E167" s="4">
        <f>E8</f>
        <v>1</v>
      </c>
      <c r="F167" s="3" t="str">
        <f>F8</f>
        <v>2023 MEMB</v>
      </c>
      <c r="G167" s="5" t="s">
        <v>551</v>
      </c>
      <c r="H167" s="39" t="s">
        <v>558</v>
      </c>
      <c r="I167" s="3" t="str">
        <f>I8</f>
        <v>NEW</v>
      </c>
      <c r="J167" s="3" t="s">
        <v>556</v>
      </c>
      <c r="K167" s="3" t="s">
        <v>628</v>
      </c>
      <c r="L167" s="11" t="s">
        <v>579</v>
      </c>
      <c r="M167" s="3">
        <v>462</v>
      </c>
    </row>
    <row r="168" spans="1:13" ht="16.5" customHeight="1" thickBot="1">
      <c r="A168" s="15" t="s">
        <v>100</v>
      </c>
      <c r="B168" s="2" t="s">
        <v>369</v>
      </c>
      <c r="C168" s="73">
        <v>84</v>
      </c>
      <c r="D168" s="18">
        <f>SUM(C168*1)</f>
        <v>84</v>
      </c>
      <c r="E168" s="19">
        <f aca="true" t="shared" si="12" ref="E168:E213">SUM(D168-F168)</f>
        <v>14</v>
      </c>
      <c r="F168" s="73">
        <v>70</v>
      </c>
      <c r="G168" s="20">
        <v>44980</v>
      </c>
      <c r="H168" s="70">
        <f aca="true" t="shared" si="13" ref="H168:H213">SUM(F168/C168)</f>
        <v>0.8333333333333334</v>
      </c>
      <c r="I168" s="79"/>
      <c r="J168" s="79">
        <v>11</v>
      </c>
      <c r="K168" s="104"/>
      <c r="L168" s="46">
        <f>7+1</f>
        <v>8</v>
      </c>
      <c r="M168" s="64"/>
    </row>
    <row r="169" spans="1:13" ht="16.5" customHeight="1" thickBot="1">
      <c r="A169" s="15">
        <v>39</v>
      </c>
      <c r="B169" s="2" t="s">
        <v>370</v>
      </c>
      <c r="C169" s="73">
        <v>209</v>
      </c>
      <c r="D169" s="18">
        <f aca="true" t="shared" si="14" ref="D169:D213">SUM(C169*1)</f>
        <v>209</v>
      </c>
      <c r="E169" s="19">
        <f t="shared" si="12"/>
        <v>18</v>
      </c>
      <c r="F169" s="73">
        <v>191</v>
      </c>
      <c r="G169" s="20">
        <v>45120</v>
      </c>
      <c r="H169" s="70">
        <f t="shared" si="13"/>
        <v>0.9138755980861244</v>
      </c>
      <c r="I169" s="79">
        <v>2</v>
      </c>
      <c r="J169" s="79">
        <v>13</v>
      </c>
      <c r="K169" s="104">
        <v>1</v>
      </c>
      <c r="L169" s="46">
        <f>15+2</f>
        <v>17</v>
      </c>
      <c r="M169" s="64"/>
    </row>
    <row r="170" spans="1:13" ht="16.5" customHeight="1" thickBot="1">
      <c r="A170" s="15" t="s">
        <v>101</v>
      </c>
      <c r="B170" s="2" t="s">
        <v>371</v>
      </c>
      <c r="C170" s="73">
        <v>176</v>
      </c>
      <c r="D170" s="18">
        <f t="shared" si="14"/>
        <v>176</v>
      </c>
      <c r="E170" s="19">
        <f t="shared" si="12"/>
        <v>29</v>
      </c>
      <c r="F170" s="73">
        <v>147</v>
      </c>
      <c r="G170" s="20">
        <v>45078</v>
      </c>
      <c r="H170" s="70">
        <f t="shared" si="13"/>
        <v>0.8352272727272727</v>
      </c>
      <c r="I170" s="79">
        <v>2</v>
      </c>
      <c r="J170" s="79">
        <v>16</v>
      </c>
      <c r="K170" s="104">
        <v>5</v>
      </c>
      <c r="L170" s="46">
        <f>20+1+1+1</f>
        <v>23</v>
      </c>
      <c r="M170" s="139"/>
    </row>
    <row r="171" spans="1:13" ht="16.5" customHeight="1" thickBot="1">
      <c r="A171" s="15" t="s">
        <v>102</v>
      </c>
      <c r="B171" s="2" t="s">
        <v>372</v>
      </c>
      <c r="C171" s="73">
        <v>84</v>
      </c>
      <c r="D171" s="18">
        <f t="shared" si="14"/>
        <v>84</v>
      </c>
      <c r="E171" s="19">
        <f t="shared" si="12"/>
        <v>4</v>
      </c>
      <c r="F171" s="73">
        <v>80</v>
      </c>
      <c r="G171" s="20">
        <v>45134</v>
      </c>
      <c r="H171" s="70">
        <f t="shared" si="13"/>
        <v>0.9523809523809523</v>
      </c>
      <c r="I171" s="79">
        <v>1</v>
      </c>
      <c r="J171" s="79">
        <v>6</v>
      </c>
      <c r="K171" s="104">
        <v>1</v>
      </c>
      <c r="L171" s="46">
        <f>18+1+1</f>
        <v>20</v>
      </c>
      <c r="M171" s="137"/>
    </row>
    <row r="172" spans="1:13" ht="16.5" customHeight="1" thickBot="1">
      <c r="A172" s="15" t="s">
        <v>103</v>
      </c>
      <c r="B172" s="2" t="s">
        <v>374</v>
      </c>
      <c r="C172" s="73">
        <v>32</v>
      </c>
      <c r="D172" s="18">
        <f t="shared" si="14"/>
        <v>32</v>
      </c>
      <c r="E172" s="19">
        <f t="shared" si="12"/>
        <v>5</v>
      </c>
      <c r="F172" s="73">
        <v>27</v>
      </c>
      <c r="G172" s="20">
        <v>45093</v>
      </c>
      <c r="H172" s="70">
        <f t="shared" si="13"/>
        <v>0.84375</v>
      </c>
      <c r="I172" s="79">
        <v>2</v>
      </c>
      <c r="J172" s="79">
        <v>1</v>
      </c>
      <c r="K172" s="104"/>
      <c r="L172" s="46">
        <v>11</v>
      </c>
      <c r="M172" s="137"/>
    </row>
    <row r="173" spans="1:13" ht="16.5" customHeight="1" thickBot="1">
      <c r="A173" s="15" t="s">
        <v>104</v>
      </c>
      <c r="B173" s="2" t="s">
        <v>375</v>
      </c>
      <c r="C173" s="73">
        <v>82</v>
      </c>
      <c r="D173" s="18">
        <f t="shared" si="14"/>
        <v>82</v>
      </c>
      <c r="E173" s="19">
        <f t="shared" si="12"/>
        <v>8</v>
      </c>
      <c r="F173" s="73">
        <v>74</v>
      </c>
      <c r="G173" s="20">
        <v>45036</v>
      </c>
      <c r="H173" s="70">
        <f t="shared" si="13"/>
        <v>0.9024390243902439</v>
      </c>
      <c r="I173" s="79"/>
      <c r="J173" s="79">
        <v>4</v>
      </c>
      <c r="K173" s="104">
        <v>4</v>
      </c>
      <c r="L173" s="46">
        <f>9+1</f>
        <v>10</v>
      </c>
      <c r="M173" s="137">
        <v>1</v>
      </c>
    </row>
    <row r="174" spans="1:13" ht="16.5" customHeight="1" thickBot="1">
      <c r="A174" s="155" t="s">
        <v>105</v>
      </c>
      <c r="B174" s="2" t="s">
        <v>376</v>
      </c>
      <c r="C174" s="73">
        <v>21</v>
      </c>
      <c r="D174" s="18">
        <f t="shared" si="14"/>
        <v>21</v>
      </c>
      <c r="E174" s="19">
        <f t="shared" si="12"/>
        <v>-1</v>
      </c>
      <c r="F174" s="73">
        <v>22</v>
      </c>
      <c r="G174" s="20">
        <v>45093</v>
      </c>
      <c r="H174" s="157">
        <f t="shared" si="13"/>
        <v>1.0476190476190477</v>
      </c>
      <c r="I174" s="79"/>
      <c r="J174" s="79">
        <v>9</v>
      </c>
      <c r="K174" s="104"/>
      <c r="L174" s="46">
        <v>4</v>
      </c>
      <c r="M174" s="64"/>
    </row>
    <row r="175" spans="1:13" ht="16.5" customHeight="1" thickBot="1">
      <c r="A175" s="15" t="s">
        <v>106</v>
      </c>
      <c r="B175" s="2" t="s">
        <v>377</v>
      </c>
      <c r="C175" s="73">
        <v>134</v>
      </c>
      <c r="D175" s="18">
        <f t="shared" si="14"/>
        <v>134</v>
      </c>
      <c r="E175" s="19">
        <f t="shared" si="12"/>
        <v>5</v>
      </c>
      <c r="F175" s="73">
        <v>129</v>
      </c>
      <c r="G175" s="20">
        <v>45071</v>
      </c>
      <c r="H175" s="70">
        <f t="shared" si="13"/>
        <v>0.9626865671641791</v>
      </c>
      <c r="I175" s="79">
        <v>8</v>
      </c>
      <c r="J175" s="79">
        <v>22</v>
      </c>
      <c r="K175" s="104">
        <v>2</v>
      </c>
      <c r="L175" s="46">
        <f>10+1+1+1</f>
        <v>13</v>
      </c>
      <c r="M175" s="64"/>
    </row>
    <row r="176" spans="1:13" ht="16.5" customHeight="1" thickBot="1">
      <c r="A176" s="15" t="s">
        <v>107</v>
      </c>
      <c r="B176" s="2" t="s">
        <v>668</v>
      </c>
      <c r="C176" s="73">
        <v>35</v>
      </c>
      <c r="D176" s="18">
        <f t="shared" si="14"/>
        <v>35</v>
      </c>
      <c r="E176" s="19">
        <f t="shared" si="12"/>
        <v>14</v>
      </c>
      <c r="F176" s="73">
        <v>21</v>
      </c>
      <c r="G176" s="20">
        <v>45022</v>
      </c>
      <c r="H176" s="70">
        <f t="shared" si="13"/>
        <v>0.6</v>
      </c>
      <c r="I176" s="79"/>
      <c r="J176" s="79">
        <v>4</v>
      </c>
      <c r="K176" s="104">
        <v>1</v>
      </c>
      <c r="L176" s="46">
        <v>3</v>
      </c>
      <c r="M176" s="64"/>
    </row>
    <row r="177" spans="1:13" ht="16.5" customHeight="1" thickBot="1">
      <c r="A177" s="15" t="s">
        <v>108</v>
      </c>
      <c r="B177" s="2" t="s">
        <v>378</v>
      </c>
      <c r="C177" s="73">
        <v>107</v>
      </c>
      <c r="D177" s="18">
        <f t="shared" si="14"/>
        <v>107</v>
      </c>
      <c r="E177" s="19">
        <f t="shared" si="12"/>
        <v>23</v>
      </c>
      <c r="F177" s="73">
        <v>84</v>
      </c>
      <c r="G177" s="20">
        <v>45134</v>
      </c>
      <c r="H177" s="70">
        <f t="shared" si="13"/>
        <v>0.7850467289719626</v>
      </c>
      <c r="I177" s="79"/>
      <c r="J177" s="79">
        <v>13</v>
      </c>
      <c r="K177" s="104"/>
      <c r="L177" s="46">
        <f>18+1+4+2+1</f>
        <v>26</v>
      </c>
      <c r="M177" s="64"/>
    </row>
    <row r="178" spans="1:13" ht="16.5" customHeight="1" thickBot="1">
      <c r="A178" s="15" t="s">
        <v>109</v>
      </c>
      <c r="B178" s="2" t="s">
        <v>379</v>
      </c>
      <c r="C178" s="73">
        <v>62</v>
      </c>
      <c r="D178" s="18">
        <f t="shared" si="14"/>
        <v>62</v>
      </c>
      <c r="E178" s="19">
        <f t="shared" si="12"/>
        <v>8</v>
      </c>
      <c r="F178" s="73">
        <v>54</v>
      </c>
      <c r="G178" s="20">
        <v>45134</v>
      </c>
      <c r="H178" s="70">
        <f t="shared" si="13"/>
        <v>0.8709677419354839</v>
      </c>
      <c r="I178" s="79">
        <v>1</v>
      </c>
      <c r="J178" s="79">
        <v>3</v>
      </c>
      <c r="K178" s="104">
        <v>4</v>
      </c>
      <c r="L178" s="46">
        <f>12+1</f>
        <v>13</v>
      </c>
      <c r="M178" s="64"/>
    </row>
    <row r="179" spans="1:13" ht="16.5" customHeight="1" thickBot="1">
      <c r="A179" s="15" t="s">
        <v>110</v>
      </c>
      <c r="B179" s="2" t="s">
        <v>669</v>
      </c>
      <c r="C179" s="73">
        <v>27</v>
      </c>
      <c r="D179" s="18">
        <f t="shared" si="14"/>
        <v>27</v>
      </c>
      <c r="E179" s="19">
        <f t="shared" si="12"/>
        <v>5</v>
      </c>
      <c r="F179" s="73">
        <v>22</v>
      </c>
      <c r="G179" s="20">
        <v>45071</v>
      </c>
      <c r="H179" s="70">
        <f t="shared" si="13"/>
        <v>0.8148148148148148</v>
      </c>
      <c r="I179" s="79"/>
      <c r="J179" s="79">
        <v>3</v>
      </c>
      <c r="K179" s="104">
        <v>1</v>
      </c>
      <c r="L179" s="46">
        <f>5+2</f>
        <v>7</v>
      </c>
      <c r="M179" s="64"/>
    </row>
    <row r="180" spans="1:13" ht="16.5" customHeight="1" thickBot="1">
      <c r="A180" s="15" t="s">
        <v>111</v>
      </c>
      <c r="B180" s="2" t="s">
        <v>380</v>
      </c>
      <c r="C180" s="73">
        <v>32</v>
      </c>
      <c r="D180" s="18">
        <f t="shared" si="14"/>
        <v>32</v>
      </c>
      <c r="E180" s="19">
        <f t="shared" si="12"/>
        <v>5</v>
      </c>
      <c r="F180" s="73">
        <v>27</v>
      </c>
      <c r="G180" s="20">
        <v>45007</v>
      </c>
      <c r="H180" s="70">
        <f t="shared" si="13"/>
        <v>0.84375</v>
      </c>
      <c r="I180" s="79"/>
      <c r="J180" s="79">
        <v>3</v>
      </c>
      <c r="K180" s="104">
        <v>1</v>
      </c>
      <c r="L180" s="46">
        <f>2+1</f>
        <v>3</v>
      </c>
      <c r="M180" s="64"/>
    </row>
    <row r="181" spans="1:13" ht="16.5" customHeight="1" thickBot="1">
      <c r="A181" s="15" t="s">
        <v>112</v>
      </c>
      <c r="B181" s="2" t="s">
        <v>381</v>
      </c>
      <c r="C181" s="73">
        <v>293</v>
      </c>
      <c r="D181" s="18">
        <f t="shared" si="14"/>
        <v>293</v>
      </c>
      <c r="E181" s="19">
        <f t="shared" si="12"/>
        <v>14</v>
      </c>
      <c r="F181" s="73">
        <v>279</v>
      </c>
      <c r="G181" s="20">
        <v>45078</v>
      </c>
      <c r="H181" s="70">
        <f t="shared" si="13"/>
        <v>0.9522184300341296</v>
      </c>
      <c r="I181" s="79">
        <v>8</v>
      </c>
      <c r="J181" s="79">
        <v>19</v>
      </c>
      <c r="K181" s="104">
        <v>9</v>
      </c>
      <c r="L181" s="46">
        <f>35+4+2+3+1</f>
        <v>45</v>
      </c>
      <c r="M181" s="64">
        <v>2</v>
      </c>
    </row>
    <row r="182" spans="1:13" ht="16.5" customHeight="1" thickBot="1">
      <c r="A182" s="155">
        <v>107</v>
      </c>
      <c r="B182" s="33" t="s">
        <v>635</v>
      </c>
      <c r="C182" s="73">
        <v>112</v>
      </c>
      <c r="D182" s="18">
        <f t="shared" si="14"/>
        <v>112</v>
      </c>
      <c r="E182" s="19">
        <f>SUM(D182-F182)</f>
        <v>-6</v>
      </c>
      <c r="F182" s="73">
        <v>118</v>
      </c>
      <c r="G182" s="20">
        <v>44966</v>
      </c>
      <c r="H182" s="100">
        <f>SUM(F182/C182)</f>
        <v>1.0535714285714286</v>
      </c>
      <c r="I182" s="79">
        <v>7</v>
      </c>
      <c r="J182" s="79">
        <v>10</v>
      </c>
      <c r="K182" s="104"/>
      <c r="L182" s="46">
        <f>2+1</f>
        <v>3</v>
      </c>
      <c r="M182" s="64"/>
    </row>
    <row r="183" spans="1:13" ht="16.5" customHeight="1" thickBot="1">
      <c r="A183" s="15" t="s">
        <v>113</v>
      </c>
      <c r="B183" s="2" t="s">
        <v>382</v>
      </c>
      <c r="C183" s="73">
        <v>109</v>
      </c>
      <c r="D183" s="18">
        <f t="shared" si="14"/>
        <v>109</v>
      </c>
      <c r="E183" s="19">
        <f t="shared" si="12"/>
        <v>15</v>
      </c>
      <c r="F183" s="73">
        <v>94</v>
      </c>
      <c r="G183" s="20">
        <v>45063</v>
      </c>
      <c r="H183" s="70">
        <f t="shared" si="13"/>
        <v>0.8623853211009175</v>
      </c>
      <c r="I183" s="79"/>
      <c r="J183" s="79">
        <v>7</v>
      </c>
      <c r="K183" s="104"/>
      <c r="L183" s="46">
        <f>20+3</f>
        <v>23</v>
      </c>
      <c r="M183" s="64"/>
    </row>
    <row r="184" spans="1:13" ht="16.5" customHeight="1" thickBot="1">
      <c r="A184" s="15" t="s">
        <v>114</v>
      </c>
      <c r="B184" s="2" t="s">
        <v>383</v>
      </c>
      <c r="C184" s="73">
        <v>145</v>
      </c>
      <c r="D184" s="18">
        <f t="shared" si="14"/>
        <v>145</v>
      </c>
      <c r="E184" s="19">
        <f t="shared" si="12"/>
        <v>35</v>
      </c>
      <c r="F184" s="73">
        <v>110</v>
      </c>
      <c r="G184" s="20">
        <v>45093</v>
      </c>
      <c r="H184" s="70">
        <f t="shared" si="13"/>
        <v>0.7586206896551724</v>
      </c>
      <c r="I184" s="79">
        <v>4</v>
      </c>
      <c r="J184" s="79">
        <v>14</v>
      </c>
      <c r="K184" s="104">
        <v>1</v>
      </c>
      <c r="L184" s="46">
        <f>30+1+2+4+1+1</f>
        <v>39</v>
      </c>
      <c r="M184" s="137"/>
    </row>
    <row r="185" spans="1:13" ht="16.5" customHeight="1" thickBot="1">
      <c r="A185" s="15" t="s">
        <v>115</v>
      </c>
      <c r="B185" s="2" t="s">
        <v>384</v>
      </c>
      <c r="C185" s="73">
        <v>33</v>
      </c>
      <c r="D185" s="18">
        <f t="shared" si="14"/>
        <v>33</v>
      </c>
      <c r="E185" s="19">
        <f t="shared" si="12"/>
        <v>20</v>
      </c>
      <c r="F185" s="73">
        <v>13</v>
      </c>
      <c r="G185" s="20">
        <v>45071</v>
      </c>
      <c r="H185" s="70">
        <f t="shared" si="13"/>
        <v>0.3939393939393939</v>
      </c>
      <c r="I185" s="79">
        <v>0</v>
      </c>
      <c r="J185" s="79">
        <v>5</v>
      </c>
      <c r="K185" s="104">
        <v>1</v>
      </c>
      <c r="L185" s="46">
        <f>2+2+1+2</f>
        <v>7</v>
      </c>
      <c r="M185" s="64"/>
    </row>
    <row r="186" spans="1:13" ht="16.5" customHeight="1" thickBot="1">
      <c r="A186" s="15" t="s">
        <v>116</v>
      </c>
      <c r="B186" s="2" t="s">
        <v>385</v>
      </c>
      <c r="C186" s="73">
        <v>73</v>
      </c>
      <c r="D186" s="18">
        <f t="shared" si="14"/>
        <v>73</v>
      </c>
      <c r="E186" s="19">
        <f t="shared" si="12"/>
        <v>11</v>
      </c>
      <c r="F186" s="73">
        <v>62</v>
      </c>
      <c r="G186" s="20">
        <v>45120</v>
      </c>
      <c r="H186" s="70">
        <f t="shared" si="13"/>
        <v>0.8493150684931506</v>
      </c>
      <c r="I186" s="79">
        <v>3</v>
      </c>
      <c r="J186" s="79">
        <v>4</v>
      </c>
      <c r="K186" s="104">
        <v>2</v>
      </c>
      <c r="L186" s="46">
        <f>8+1+1+1</f>
        <v>11</v>
      </c>
      <c r="M186" s="137"/>
    </row>
    <row r="187" spans="1:13" ht="16.5" customHeight="1" thickBot="1">
      <c r="A187" s="15" t="s">
        <v>117</v>
      </c>
      <c r="B187" s="2" t="s">
        <v>386</v>
      </c>
      <c r="C187" s="73">
        <v>53</v>
      </c>
      <c r="D187" s="18">
        <f t="shared" si="14"/>
        <v>53</v>
      </c>
      <c r="E187" s="19">
        <f t="shared" si="12"/>
        <v>7</v>
      </c>
      <c r="F187" s="73">
        <v>46</v>
      </c>
      <c r="G187" s="20">
        <v>45028</v>
      </c>
      <c r="H187" s="70">
        <f t="shared" si="13"/>
        <v>0.8679245283018868</v>
      </c>
      <c r="I187" s="79">
        <v>1</v>
      </c>
      <c r="J187" s="79">
        <v>8</v>
      </c>
      <c r="K187" s="104"/>
      <c r="L187" s="46">
        <f>2+1</f>
        <v>3</v>
      </c>
      <c r="M187" s="137"/>
    </row>
    <row r="188" spans="1:13" ht="16.5" customHeight="1" thickBot="1">
      <c r="A188" s="15" t="s">
        <v>118</v>
      </c>
      <c r="B188" s="2" t="s">
        <v>373</v>
      </c>
      <c r="C188" s="73">
        <v>31</v>
      </c>
      <c r="D188" s="18">
        <f t="shared" si="14"/>
        <v>31</v>
      </c>
      <c r="E188" s="19">
        <f t="shared" si="12"/>
        <v>20</v>
      </c>
      <c r="F188" s="73">
        <v>11</v>
      </c>
      <c r="G188" s="20">
        <v>45001</v>
      </c>
      <c r="H188" s="70">
        <f t="shared" si="13"/>
        <v>0.3548387096774194</v>
      </c>
      <c r="I188" s="79"/>
      <c r="J188" s="79">
        <v>0</v>
      </c>
      <c r="K188" s="104"/>
      <c r="L188" s="46">
        <v>0</v>
      </c>
      <c r="M188" s="64"/>
    </row>
    <row r="189" spans="1:13" ht="16.5" customHeight="1" thickBot="1">
      <c r="A189" s="15" t="s">
        <v>119</v>
      </c>
      <c r="B189" s="2" t="s">
        <v>387</v>
      </c>
      <c r="C189" s="73">
        <v>219</v>
      </c>
      <c r="D189" s="18">
        <f t="shared" si="14"/>
        <v>219</v>
      </c>
      <c r="E189" s="19">
        <f t="shared" si="12"/>
        <v>29</v>
      </c>
      <c r="F189" s="73">
        <v>190</v>
      </c>
      <c r="G189" s="20">
        <v>45071</v>
      </c>
      <c r="H189" s="70">
        <f t="shared" si="13"/>
        <v>0.867579908675799</v>
      </c>
      <c r="I189" s="79">
        <v>4</v>
      </c>
      <c r="J189" s="79">
        <v>19</v>
      </c>
      <c r="K189" s="104">
        <v>1</v>
      </c>
      <c r="L189" s="46">
        <f>26+2+1</f>
        <v>29</v>
      </c>
      <c r="M189" s="137"/>
    </row>
    <row r="190" spans="1:13" ht="16.5" customHeight="1" thickBot="1">
      <c r="A190" s="15" t="s">
        <v>120</v>
      </c>
      <c r="B190" s="2" t="s">
        <v>388</v>
      </c>
      <c r="C190" s="73">
        <v>42</v>
      </c>
      <c r="D190" s="18">
        <f t="shared" si="14"/>
        <v>42</v>
      </c>
      <c r="E190" s="19">
        <f t="shared" si="12"/>
        <v>2</v>
      </c>
      <c r="F190" s="73">
        <v>40</v>
      </c>
      <c r="G190" s="20">
        <v>45106</v>
      </c>
      <c r="H190" s="70">
        <f t="shared" si="13"/>
        <v>0.9523809523809523</v>
      </c>
      <c r="I190" s="79">
        <v>2</v>
      </c>
      <c r="J190" s="79">
        <v>3</v>
      </c>
      <c r="K190" s="104">
        <v>1</v>
      </c>
      <c r="L190" s="46">
        <v>8</v>
      </c>
      <c r="M190" s="137"/>
    </row>
    <row r="191" spans="1:13" ht="16.5" customHeight="1" thickBot="1">
      <c r="A191" s="15" t="s">
        <v>121</v>
      </c>
      <c r="B191" s="2" t="s">
        <v>389</v>
      </c>
      <c r="C191" s="73">
        <v>30</v>
      </c>
      <c r="D191" s="18">
        <f t="shared" si="14"/>
        <v>30</v>
      </c>
      <c r="E191" s="19">
        <f t="shared" si="12"/>
        <v>2</v>
      </c>
      <c r="F191" s="73">
        <v>28</v>
      </c>
      <c r="G191" s="20">
        <v>44914</v>
      </c>
      <c r="H191" s="70">
        <f t="shared" si="13"/>
        <v>0.9333333333333333</v>
      </c>
      <c r="I191" s="79">
        <v>1</v>
      </c>
      <c r="J191" s="79">
        <v>3</v>
      </c>
      <c r="K191" s="104"/>
      <c r="L191" s="46">
        <v>7</v>
      </c>
      <c r="M191" s="137"/>
    </row>
    <row r="192" spans="1:13" ht="16.5" customHeight="1" thickBot="1">
      <c r="A192" s="15" t="s">
        <v>122</v>
      </c>
      <c r="B192" s="2" t="s">
        <v>390</v>
      </c>
      <c r="C192" s="73">
        <v>103</v>
      </c>
      <c r="D192" s="18">
        <f t="shared" si="14"/>
        <v>103</v>
      </c>
      <c r="E192" s="19">
        <f t="shared" si="12"/>
        <v>1</v>
      </c>
      <c r="F192" s="73">
        <v>102</v>
      </c>
      <c r="G192" s="20">
        <v>45093</v>
      </c>
      <c r="H192" s="70">
        <f t="shared" si="13"/>
        <v>0.9902912621359223</v>
      </c>
      <c r="I192" s="79">
        <v>3</v>
      </c>
      <c r="J192" s="79">
        <v>16</v>
      </c>
      <c r="K192" s="104">
        <v>3</v>
      </c>
      <c r="L192" s="46">
        <f>11+3+2+1</f>
        <v>17</v>
      </c>
      <c r="M192" s="64"/>
    </row>
    <row r="193" spans="1:13" ht="16.5" customHeight="1" thickBot="1">
      <c r="A193" s="15" t="s">
        <v>123</v>
      </c>
      <c r="B193" s="2" t="s">
        <v>391</v>
      </c>
      <c r="C193" s="73">
        <v>52</v>
      </c>
      <c r="D193" s="18">
        <f t="shared" si="14"/>
        <v>52</v>
      </c>
      <c r="E193" s="19">
        <f t="shared" si="12"/>
        <v>9</v>
      </c>
      <c r="F193" s="73">
        <v>43</v>
      </c>
      <c r="G193" s="20">
        <v>45042</v>
      </c>
      <c r="H193" s="70">
        <f t="shared" si="13"/>
        <v>0.8269230769230769</v>
      </c>
      <c r="I193" s="79">
        <v>2</v>
      </c>
      <c r="J193" s="79">
        <v>4</v>
      </c>
      <c r="K193" s="104">
        <v>2</v>
      </c>
      <c r="L193" s="46">
        <f>11+1+1+1</f>
        <v>14</v>
      </c>
      <c r="M193" s="137"/>
    </row>
    <row r="194" spans="1:13" ht="16.5" customHeight="1" thickBot="1">
      <c r="A194" s="15" t="s">
        <v>124</v>
      </c>
      <c r="B194" s="2" t="s">
        <v>392</v>
      </c>
      <c r="C194" s="73">
        <v>41</v>
      </c>
      <c r="D194" s="18">
        <f t="shared" si="14"/>
        <v>41</v>
      </c>
      <c r="E194" s="19">
        <f t="shared" si="12"/>
        <v>0</v>
      </c>
      <c r="F194" s="73">
        <v>41</v>
      </c>
      <c r="G194" s="20">
        <v>45036</v>
      </c>
      <c r="H194" s="100">
        <f t="shared" si="13"/>
        <v>1</v>
      </c>
      <c r="I194" s="79"/>
      <c r="J194" s="79">
        <v>10</v>
      </c>
      <c r="K194" s="104">
        <v>4</v>
      </c>
      <c r="L194" s="46">
        <v>3</v>
      </c>
      <c r="M194" s="137"/>
    </row>
    <row r="195" spans="1:13" ht="16.5" customHeight="1" thickBot="1">
      <c r="A195" s="15" t="s">
        <v>125</v>
      </c>
      <c r="B195" s="2" t="s">
        <v>393</v>
      </c>
      <c r="C195" s="73">
        <v>36</v>
      </c>
      <c r="D195" s="18">
        <f t="shared" si="14"/>
        <v>36</v>
      </c>
      <c r="E195" s="19">
        <f t="shared" si="12"/>
        <v>7</v>
      </c>
      <c r="F195" s="73">
        <v>29</v>
      </c>
      <c r="G195" s="20">
        <v>45134</v>
      </c>
      <c r="H195" s="70">
        <f t="shared" si="13"/>
        <v>0.8055555555555556</v>
      </c>
      <c r="I195" s="79"/>
      <c r="J195" s="79">
        <v>4</v>
      </c>
      <c r="K195" s="104">
        <v>1</v>
      </c>
      <c r="L195" s="46">
        <v>3</v>
      </c>
      <c r="M195" s="64"/>
    </row>
    <row r="196" spans="1:13" ht="16.5" customHeight="1" thickBot="1">
      <c r="A196" s="15" t="s">
        <v>126</v>
      </c>
      <c r="B196" s="2" t="s">
        <v>394</v>
      </c>
      <c r="C196" s="73">
        <v>43</v>
      </c>
      <c r="D196" s="18">
        <f t="shared" si="14"/>
        <v>43</v>
      </c>
      <c r="E196" s="19">
        <f t="shared" si="12"/>
        <v>29</v>
      </c>
      <c r="F196" s="73">
        <v>14</v>
      </c>
      <c r="G196" s="20">
        <v>45093</v>
      </c>
      <c r="H196" s="70">
        <f t="shared" si="13"/>
        <v>0.32558139534883723</v>
      </c>
      <c r="I196" s="79"/>
      <c r="J196" s="79">
        <v>4</v>
      </c>
      <c r="K196" s="104"/>
      <c r="L196" s="46">
        <f>1+2+1</f>
        <v>4</v>
      </c>
      <c r="M196" s="64"/>
    </row>
    <row r="197" spans="1:13" ht="16.5" customHeight="1" thickBot="1">
      <c r="A197" s="15" t="s">
        <v>127</v>
      </c>
      <c r="B197" s="2" t="s">
        <v>395</v>
      </c>
      <c r="C197" s="73">
        <v>17</v>
      </c>
      <c r="D197" s="18">
        <f t="shared" si="14"/>
        <v>17</v>
      </c>
      <c r="E197" s="19">
        <f t="shared" si="12"/>
        <v>4</v>
      </c>
      <c r="F197" s="73">
        <v>13</v>
      </c>
      <c r="G197" s="20">
        <v>45007</v>
      </c>
      <c r="H197" s="70">
        <f t="shared" si="13"/>
        <v>0.7647058823529411</v>
      </c>
      <c r="I197" s="79"/>
      <c r="J197" s="79">
        <v>4</v>
      </c>
      <c r="K197" s="104"/>
      <c r="L197" s="46">
        <f>4+1+1</f>
        <v>6</v>
      </c>
      <c r="M197" s="64"/>
    </row>
    <row r="198" spans="1:13" ht="16.5" customHeight="1" thickBot="1">
      <c r="A198" s="15" t="s">
        <v>128</v>
      </c>
      <c r="B198" s="2" t="s">
        <v>396</v>
      </c>
      <c r="C198" s="73">
        <v>212</v>
      </c>
      <c r="D198" s="18">
        <f t="shared" si="14"/>
        <v>212</v>
      </c>
      <c r="E198" s="19">
        <f t="shared" si="12"/>
        <v>47</v>
      </c>
      <c r="F198" s="73">
        <v>165</v>
      </c>
      <c r="G198" s="20">
        <v>45050</v>
      </c>
      <c r="H198" s="70">
        <f t="shared" si="13"/>
        <v>0.7783018867924528</v>
      </c>
      <c r="I198" s="79">
        <v>1</v>
      </c>
      <c r="J198" s="79">
        <v>34</v>
      </c>
      <c r="K198" s="104">
        <v>2</v>
      </c>
      <c r="L198" s="46">
        <f>44+2+2+2</f>
        <v>50</v>
      </c>
      <c r="M198" s="138"/>
    </row>
    <row r="199" spans="1:13" ht="16.5" customHeight="1" thickBot="1">
      <c r="A199" s="15" t="s">
        <v>129</v>
      </c>
      <c r="B199" s="2" t="s">
        <v>397</v>
      </c>
      <c r="C199" s="73">
        <v>86</v>
      </c>
      <c r="D199" s="18">
        <f t="shared" si="14"/>
        <v>86</v>
      </c>
      <c r="E199" s="19">
        <f t="shared" si="12"/>
        <v>9</v>
      </c>
      <c r="F199" s="73">
        <v>77</v>
      </c>
      <c r="G199" s="20">
        <v>44965</v>
      </c>
      <c r="H199" s="70">
        <f t="shared" si="13"/>
        <v>0.8953488372093024</v>
      </c>
      <c r="I199" s="79"/>
      <c r="J199" s="79">
        <v>9</v>
      </c>
      <c r="K199" s="104"/>
      <c r="L199" s="46">
        <v>3</v>
      </c>
      <c r="M199" s="64"/>
    </row>
    <row r="200" spans="1:13" ht="16.5" customHeight="1" thickBot="1">
      <c r="A200" s="15" t="s">
        <v>130</v>
      </c>
      <c r="B200" s="2" t="s">
        <v>398</v>
      </c>
      <c r="C200" s="73">
        <v>122</v>
      </c>
      <c r="D200" s="18">
        <f t="shared" si="14"/>
        <v>122</v>
      </c>
      <c r="E200" s="19">
        <f t="shared" si="12"/>
        <v>12</v>
      </c>
      <c r="F200" s="73">
        <v>110</v>
      </c>
      <c r="G200" s="20">
        <v>45134</v>
      </c>
      <c r="H200" s="70">
        <f t="shared" si="13"/>
        <v>0.9016393442622951</v>
      </c>
      <c r="I200" s="79">
        <v>7</v>
      </c>
      <c r="J200" s="79">
        <v>20</v>
      </c>
      <c r="K200" s="104">
        <v>1</v>
      </c>
      <c r="L200" s="46">
        <f>14+1+3</f>
        <v>18</v>
      </c>
      <c r="M200" s="64"/>
    </row>
    <row r="201" spans="1:13" ht="16.5" customHeight="1" thickBot="1">
      <c r="A201" s="15" t="s">
        <v>131</v>
      </c>
      <c r="B201" s="2" t="s">
        <v>399</v>
      </c>
      <c r="C201" s="73">
        <v>53</v>
      </c>
      <c r="D201" s="18">
        <f t="shared" si="14"/>
        <v>53</v>
      </c>
      <c r="E201" s="19">
        <f t="shared" si="12"/>
        <v>0</v>
      </c>
      <c r="F201" s="73">
        <v>53</v>
      </c>
      <c r="G201" s="20">
        <v>45022</v>
      </c>
      <c r="H201" s="100">
        <f t="shared" si="13"/>
        <v>1</v>
      </c>
      <c r="I201" s="79">
        <v>3</v>
      </c>
      <c r="J201" s="79">
        <v>4</v>
      </c>
      <c r="K201" s="104">
        <v>1</v>
      </c>
      <c r="L201" s="46">
        <v>34</v>
      </c>
      <c r="M201" s="137"/>
    </row>
    <row r="202" spans="1:13" ht="16.5" customHeight="1" thickBot="1">
      <c r="A202" s="15" t="s">
        <v>132</v>
      </c>
      <c r="B202" s="2" t="s">
        <v>400</v>
      </c>
      <c r="C202" s="73">
        <v>82</v>
      </c>
      <c r="D202" s="18">
        <f t="shared" si="14"/>
        <v>82</v>
      </c>
      <c r="E202" s="19">
        <f t="shared" si="12"/>
        <v>10</v>
      </c>
      <c r="F202" s="73">
        <v>72</v>
      </c>
      <c r="G202" s="20">
        <v>45063</v>
      </c>
      <c r="H202" s="70">
        <f t="shared" si="13"/>
        <v>0.8780487804878049</v>
      </c>
      <c r="I202" s="79"/>
      <c r="J202" s="79">
        <v>9</v>
      </c>
      <c r="K202" s="104">
        <v>3</v>
      </c>
      <c r="L202" s="46">
        <f>15+1+1</f>
        <v>17</v>
      </c>
      <c r="M202" s="137"/>
    </row>
    <row r="203" spans="1:13" ht="16.5" customHeight="1" thickBot="1">
      <c r="A203" s="15" t="s">
        <v>133</v>
      </c>
      <c r="B203" s="2" t="s">
        <v>401</v>
      </c>
      <c r="C203" s="73">
        <v>38</v>
      </c>
      <c r="D203" s="18">
        <f t="shared" si="14"/>
        <v>38</v>
      </c>
      <c r="E203" s="19">
        <f t="shared" si="12"/>
        <v>1</v>
      </c>
      <c r="F203" s="73">
        <v>37</v>
      </c>
      <c r="G203" s="20">
        <v>45063</v>
      </c>
      <c r="H203" s="70">
        <f t="shared" si="13"/>
        <v>0.9736842105263158</v>
      </c>
      <c r="I203" s="79"/>
      <c r="J203" s="79">
        <v>3</v>
      </c>
      <c r="K203" s="104">
        <v>9</v>
      </c>
      <c r="L203" s="46">
        <f>2+1</f>
        <v>3</v>
      </c>
      <c r="M203" s="64"/>
    </row>
    <row r="204" spans="1:13" ht="16.5" customHeight="1" thickBot="1">
      <c r="A204" s="15" t="s">
        <v>134</v>
      </c>
      <c r="B204" s="2" t="s">
        <v>402</v>
      </c>
      <c r="C204" s="73">
        <v>213</v>
      </c>
      <c r="D204" s="18">
        <f t="shared" si="14"/>
        <v>213</v>
      </c>
      <c r="E204" s="19">
        <f t="shared" si="12"/>
        <v>5</v>
      </c>
      <c r="F204" s="73">
        <v>208</v>
      </c>
      <c r="G204" s="20">
        <v>45042</v>
      </c>
      <c r="H204" s="70">
        <f t="shared" si="13"/>
        <v>0.9765258215962441</v>
      </c>
      <c r="I204" s="79">
        <v>9</v>
      </c>
      <c r="J204" s="79">
        <v>13</v>
      </c>
      <c r="K204" s="104">
        <v>3</v>
      </c>
      <c r="L204" s="46">
        <f>41+2+1+2</f>
        <v>46</v>
      </c>
      <c r="M204" s="137"/>
    </row>
    <row r="205" spans="1:13" ht="16.5" customHeight="1" thickBot="1">
      <c r="A205" s="15" t="s">
        <v>135</v>
      </c>
      <c r="B205" s="2" t="s">
        <v>403</v>
      </c>
      <c r="C205" s="73">
        <v>124</v>
      </c>
      <c r="D205" s="18">
        <f t="shared" si="14"/>
        <v>124</v>
      </c>
      <c r="E205" s="19">
        <f t="shared" si="12"/>
        <v>-4</v>
      </c>
      <c r="F205" s="73">
        <v>128</v>
      </c>
      <c r="G205" s="20">
        <v>45120</v>
      </c>
      <c r="H205" s="157">
        <f t="shared" si="13"/>
        <v>1.032258064516129</v>
      </c>
      <c r="I205" s="79">
        <v>9</v>
      </c>
      <c r="J205" s="79">
        <v>14</v>
      </c>
      <c r="K205" s="104">
        <v>1</v>
      </c>
      <c r="L205" s="46">
        <f>12+1+2+1+1</f>
        <v>17</v>
      </c>
      <c r="M205" s="64"/>
    </row>
    <row r="206" spans="1:13" ht="16.5" customHeight="1" thickBot="1">
      <c r="A206" s="15" t="s">
        <v>136</v>
      </c>
      <c r="B206" s="33" t="s">
        <v>404</v>
      </c>
      <c r="C206" s="73">
        <v>209</v>
      </c>
      <c r="D206" s="18">
        <f t="shared" si="14"/>
        <v>209</v>
      </c>
      <c r="E206" s="19">
        <f t="shared" si="12"/>
        <v>26</v>
      </c>
      <c r="F206" s="73">
        <v>183</v>
      </c>
      <c r="G206" s="20">
        <v>45071</v>
      </c>
      <c r="H206" s="70">
        <f t="shared" si="13"/>
        <v>0.8755980861244019</v>
      </c>
      <c r="I206" s="79">
        <v>5</v>
      </c>
      <c r="J206" s="79">
        <v>16</v>
      </c>
      <c r="K206" s="104">
        <v>3</v>
      </c>
      <c r="L206" s="46">
        <f>37+3+1+2</f>
        <v>43</v>
      </c>
      <c r="M206" s="64"/>
    </row>
    <row r="207" spans="1:13" ht="16.5" customHeight="1" thickBot="1">
      <c r="A207" s="15" t="s">
        <v>137</v>
      </c>
      <c r="B207" s="2" t="s">
        <v>405</v>
      </c>
      <c r="C207" s="73">
        <v>26</v>
      </c>
      <c r="D207" s="18">
        <f t="shared" si="14"/>
        <v>26</v>
      </c>
      <c r="E207" s="19">
        <f t="shared" si="12"/>
        <v>-1</v>
      </c>
      <c r="F207" s="73">
        <v>27</v>
      </c>
      <c r="G207" s="20">
        <v>45106</v>
      </c>
      <c r="H207" s="151">
        <f t="shared" si="13"/>
        <v>1.0384615384615385</v>
      </c>
      <c r="I207" s="79">
        <v>1</v>
      </c>
      <c r="J207" s="79">
        <v>6</v>
      </c>
      <c r="K207" s="104"/>
      <c r="L207" s="46">
        <f>5+1</f>
        <v>6</v>
      </c>
      <c r="M207" s="64"/>
    </row>
    <row r="208" spans="1:13" ht="16.5" customHeight="1" thickBot="1">
      <c r="A208" s="15" t="s">
        <v>138</v>
      </c>
      <c r="B208" s="2" t="s">
        <v>406</v>
      </c>
      <c r="C208" s="73">
        <v>15</v>
      </c>
      <c r="D208" s="18">
        <f t="shared" si="14"/>
        <v>15</v>
      </c>
      <c r="E208" s="19">
        <f t="shared" si="12"/>
        <v>0</v>
      </c>
      <c r="F208" s="73">
        <v>15</v>
      </c>
      <c r="G208" s="20">
        <v>44811</v>
      </c>
      <c r="H208" s="100">
        <f t="shared" si="13"/>
        <v>1</v>
      </c>
      <c r="I208" s="79"/>
      <c r="J208" s="79">
        <v>1</v>
      </c>
      <c r="K208" s="104"/>
      <c r="L208" s="46">
        <v>0</v>
      </c>
      <c r="M208" s="64"/>
    </row>
    <row r="209" spans="1:13" ht="16.5" customHeight="1" thickBot="1">
      <c r="A209" s="15" t="s">
        <v>139</v>
      </c>
      <c r="B209" s="2" t="s">
        <v>407</v>
      </c>
      <c r="C209" s="73">
        <v>29</v>
      </c>
      <c r="D209" s="18">
        <f t="shared" si="14"/>
        <v>29</v>
      </c>
      <c r="E209" s="19">
        <f t="shared" si="12"/>
        <v>5</v>
      </c>
      <c r="F209" s="73">
        <v>24</v>
      </c>
      <c r="G209" s="20">
        <v>44902</v>
      </c>
      <c r="H209" s="70">
        <f t="shared" si="13"/>
        <v>0.8275862068965517</v>
      </c>
      <c r="I209" s="79"/>
      <c r="J209" s="79">
        <v>2</v>
      </c>
      <c r="K209" s="104"/>
      <c r="L209" s="46">
        <v>1</v>
      </c>
      <c r="M209" s="64"/>
    </row>
    <row r="210" spans="1:13" ht="16.5" customHeight="1" thickBot="1">
      <c r="A210" s="15" t="s">
        <v>140</v>
      </c>
      <c r="B210" s="2" t="s">
        <v>408</v>
      </c>
      <c r="C210" s="73">
        <v>59</v>
      </c>
      <c r="D210" s="18">
        <f t="shared" si="14"/>
        <v>59</v>
      </c>
      <c r="E210" s="19">
        <f t="shared" si="12"/>
        <v>7</v>
      </c>
      <c r="F210" s="73">
        <v>52</v>
      </c>
      <c r="G210" s="20">
        <v>45120</v>
      </c>
      <c r="H210" s="70">
        <f t="shared" si="13"/>
        <v>0.8813559322033898</v>
      </c>
      <c r="I210" s="79">
        <v>2</v>
      </c>
      <c r="J210" s="79">
        <v>4</v>
      </c>
      <c r="K210" s="111"/>
      <c r="L210" s="46">
        <f>18+1+1</f>
        <v>20</v>
      </c>
      <c r="M210" s="138"/>
    </row>
    <row r="211" spans="1:13" ht="16.5" customHeight="1" thickBot="1">
      <c r="A211" s="154" t="s">
        <v>141</v>
      </c>
      <c r="B211" s="2" t="s">
        <v>409</v>
      </c>
      <c r="C211" s="73">
        <v>223</v>
      </c>
      <c r="D211" s="18">
        <f t="shared" si="14"/>
        <v>223</v>
      </c>
      <c r="E211" s="19">
        <f t="shared" si="12"/>
        <v>-18</v>
      </c>
      <c r="F211" s="73">
        <v>241</v>
      </c>
      <c r="G211" s="20">
        <v>45106</v>
      </c>
      <c r="H211" s="151">
        <f t="shared" si="13"/>
        <v>1.0807174887892377</v>
      </c>
      <c r="I211" s="79">
        <v>16</v>
      </c>
      <c r="J211" s="79">
        <v>23</v>
      </c>
      <c r="K211" s="104">
        <v>8</v>
      </c>
      <c r="L211" s="46">
        <f>38+1+1+1</f>
        <v>41</v>
      </c>
      <c r="M211" s="64">
        <v>1</v>
      </c>
    </row>
    <row r="212" spans="1:13" ht="16.5" customHeight="1" thickBot="1">
      <c r="A212" s="15" t="s">
        <v>142</v>
      </c>
      <c r="B212" s="2" t="s">
        <v>410</v>
      </c>
      <c r="C212" s="73">
        <v>116</v>
      </c>
      <c r="D212" s="18">
        <f t="shared" si="14"/>
        <v>116</v>
      </c>
      <c r="E212" s="19">
        <f t="shared" si="12"/>
        <v>7</v>
      </c>
      <c r="F212" s="73">
        <v>109</v>
      </c>
      <c r="G212" s="20">
        <v>45106</v>
      </c>
      <c r="H212" s="70">
        <f t="shared" si="13"/>
        <v>0.9396551724137931</v>
      </c>
      <c r="I212" s="79">
        <v>4</v>
      </c>
      <c r="J212" s="79">
        <v>11</v>
      </c>
      <c r="K212" s="104"/>
      <c r="L212" s="46">
        <f>29+3+1+2+1</f>
        <v>36</v>
      </c>
      <c r="M212" s="138"/>
    </row>
    <row r="213" spans="1:13" ht="16.5" customHeight="1" thickBot="1">
      <c r="A213" s="15" t="s">
        <v>143</v>
      </c>
      <c r="B213" s="2" t="s">
        <v>369</v>
      </c>
      <c r="C213" s="73">
        <v>21</v>
      </c>
      <c r="D213" s="18">
        <f t="shared" si="14"/>
        <v>21</v>
      </c>
      <c r="E213" s="19">
        <f t="shared" si="12"/>
        <v>2</v>
      </c>
      <c r="F213" s="73">
        <v>19</v>
      </c>
      <c r="G213" s="20">
        <v>44769</v>
      </c>
      <c r="H213" s="70">
        <f t="shared" si="13"/>
        <v>0.9047619047619048</v>
      </c>
      <c r="I213" s="79">
        <v>1</v>
      </c>
      <c r="J213" s="79">
        <v>0</v>
      </c>
      <c r="K213" s="104"/>
      <c r="L213" s="46">
        <v>1</v>
      </c>
      <c r="M213" s="64"/>
    </row>
    <row r="214" spans="1:11" ht="16.5" customHeight="1">
      <c r="A214" s="2"/>
      <c r="C214" s="28"/>
      <c r="D214" s="28"/>
      <c r="E214" s="22"/>
      <c r="G214" s="23"/>
      <c r="H214" s="24"/>
      <c r="I214" s="11"/>
      <c r="K214" s="2"/>
    </row>
    <row r="215" spans="2:11" ht="16.5" customHeight="1" thickBot="1">
      <c r="B215" s="14" t="s">
        <v>656</v>
      </c>
      <c r="C215" s="126">
        <v>83</v>
      </c>
      <c r="D215" s="86"/>
      <c r="E215" s="22"/>
      <c r="G215" s="23"/>
      <c r="H215" s="24"/>
      <c r="I215" s="11"/>
      <c r="K215" s="2"/>
    </row>
    <row r="216" spans="2:13" ht="16.5" customHeight="1" thickBot="1">
      <c r="B216" s="15" t="s">
        <v>411</v>
      </c>
      <c r="C216" s="18">
        <f>SUM(C168:C215)</f>
        <v>4228</v>
      </c>
      <c r="D216" s="92">
        <f>SUM(C216*1)</f>
        <v>4228</v>
      </c>
      <c r="E216" s="19">
        <f>SUM(D216-F216)</f>
        <v>527</v>
      </c>
      <c r="F216" s="17">
        <f>SUM(F168:F213)</f>
        <v>3701</v>
      </c>
      <c r="G216" s="20"/>
      <c r="H216" s="21">
        <f>SUM(F216/C216)</f>
        <v>0.8753547776726585</v>
      </c>
      <c r="I216" s="79">
        <f>SUM(I168:I213)</f>
        <v>109</v>
      </c>
      <c r="J216" s="79">
        <f>SUM(J168:J213)</f>
        <v>411</v>
      </c>
      <c r="K216" s="79">
        <f>SUM(K168:K213)</f>
        <v>76</v>
      </c>
      <c r="L216" s="17">
        <f>SUM(L168:L213)</f>
        <v>716</v>
      </c>
      <c r="M216" s="64">
        <f>SUM(M168:M213)</f>
        <v>4</v>
      </c>
    </row>
    <row r="217" spans="1:11" ht="16.5" customHeight="1">
      <c r="A217" s="84" t="str">
        <f>A23</f>
        <v> TARGET DATE : 05/17/2023    100%</v>
      </c>
      <c r="B217" s="48"/>
      <c r="C217" s="22"/>
      <c r="D217" s="22"/>
      <c r="E217" s="22"/>
      <c r="G217" s="23"/>
      <c r="H217" s="24"/>
      <c r="I217" s="11"/>
      <c r="K217" s="2"/>
    </row>
    <row r="218" spans="1:11" ht="16.5" customHeight="1">
      <c r="A218" s="14"/>
      <c r="B218" s="14"/>
      <c r="C218" s="84"/>
      <c r="D218" s="8"/>
      <c r="E218" s="23"/>
      <c r="F218" s="24"/>
      <c r="G218" s="11"/>
      <c r="J218" s="2"/>
      <c r="K218" s="2"/>
    </row>
    <row r="219" spans="1:12" ht="16.5" customHeight="1">
      <c r="A219" s="14"/>
      <c r="B219" s="14" t="s">
        <v>676</v>
      </c>
      <c r="C219" s="42"/>
      <c r="D219" s="42"/>
      <c r="E219" s="53"/>
      <c r="F219" s="10"/>
      <c r="G219" s="11"/>
      <c r="H219" s="23"/>
      <c r="J219" s="2"/>
      <c r="K219" s="22"/>
      <c r="L219" s="22"/>
    </row>
    <row r="220" spans="1:12" ht="16.5" customHeight="1">
      <c r="A220" s="14"/>
      <c r="B220" s="14" t="s">
        <v>677</v>
      </c>
      <c r="C220" s="42"/>
      <c r="D220" s="42"/>
      <c r="E220" s="53"/>
      <c r="F220" s="10"/>
      <c r="G220" s="11"/>
      <c r="H220" s="23"/>
      <c r="J220" s="2"/>
      <c r="K220" s="22"/>
      <c r="L220" s="22"/>
    </row>
    <row r="221" spans="1:13" ht="16.5" customHeight="1">
      <c r="A221" s="14"/>
      <c r="C221" s="43"/>
      <c r="D221" s="8"/>
      <c r="E221" s="8"/>
      <c r="F221" s="3"/>
      <c r="G221" s="3"/>
      <c r="H221" s="24"/>
      <c r="J221" s="2"/>
      <c r="K221" s="2"/>
      <c r="M221" s="22"/>
    </row>
    <row r="222" spans="1:11" ht="16.5" customHeight="1">
      <c r="A222" s="2" t="s">
        <v>412</v>
      </c>
      <c r="C222" s="22"/>
      <c r="D222" s="22"/>
      <c r="E222" s="22"/>
      <c r="G222" s="23"/>
      <c r="H222" s="77">
        <f>F3</f>
        <v>45134</v>
      </c>
      <c r="I222" s="11"/>
      <c r="K222" s="2"/>
    </row>
    <row r="223" spans="1:11" ht="16.5" customHeight="1">
      <c r="A223" s="14" t="s">
        <v>659</v>
      </c>
      <c r="C223" s="22"/>
      <c r="D223" s="22"/>
      <c r="E223" s="22"/>
      <c r="G223" s="23"/>
      <c r="H223" s="24"/>
      <c r="I223" s="11"/>
      <c r="K223" s="2"/>
    </row>
    <row r="224" spans="2:13" ht="16.5" customHeight="1">
      <c r="B224" s="14"/>
      <c r="C224" s="22"/>
      <c r="D224" s="22"/>
      <c r="E224" s="22"/>
      <c r="G224" s="23"/>
      <c r="H224" s="24"/>
      <c r="I224" s="11"/>
      <c r="K224" s="3" t="s">
        <v>627</v>
      </c>
      <c r="L224" s="11" t="s">
        <v>574</v>
      </c>
      <c r="M224" s="3" t="s">
        <v>652</v>
      </c>
    </row>
    <row r="225" spans="3:13" ht="16.5" customHeight="1">
      <c r="C225" s="8">
        <f>C7</f>
        <v>2023</v>
      </c>
      <c r="D225" s="4">
        <f>D7</f>
        <v>1</v>
      </c>
      <c r="E225" s="8" t="s">
        <v>547</v>
      </c>
      <c r="F225" s="3" t="s">
        <v>548</v>
      </c>
      <c r="G225" s="5" t="s">
        <v>550</v>
      </c>
      <c r="H225" s="6" t="s">
        <v>559</v>
      </c>
      <c r="I225" s="11"/>
      <c r="K225" s="3" t="s">
        <v>561</v>
      </c>
      <c r="L225" s="11" t="s">
        <v>578</v>
      </c>
      <c r="M225" s="3" t="s">
        <v>561</v>
      </c>
    </row>
    <row r="226" spans="1:13" ht="16.5" customHeight="1" thickBot="1">
      <c r="A226" s="2"/>
      <c r="C226" s="8" t="s">
        <v>558</v>
      </c>
      <c r="D226" s="8" t="s">
        <v>546</v>
      </c>
      <c r="E226" s="4">
        <f>E8</f>
        <v>1</v>
      </c>
      <c r="F226" s="3" t="str">
        <f>F8</f>
        <v>2023 MEMB</v>
      </c>
      <c r="G226" s="5" t="s">
        <v>551</v>
      </c>
      <c r="H226" s="7" t="s">
        <v>558</v>
      </c>
      <c r="I226" s="3" t="str">
        <f>I8</f>
        <v>NEW</v>
      </c>
      <c r="J226" s="3" t="s">
        <v>556</v>
      </c>
      <c r="K226" s="3" t="s">
        <v>628</v>
      </c>
      <c r="L226" s="11" t="s">
        <v>576</v>
      </c>
      <c r="M226" s="3">
        <v>462</v>
      </c>
    </row>
    <row r="227" spans="1:13" ht="16.5" customHeight="1" thickBot="1">
      <c r="A227" s="15" t="s">
        <v>144</v>
      </c>
      <c r="B227" s="2" t="s">
        <v>413</v>
      </c>
      <c r="C227" s="73">
        <v>94</v>
      </c>
      <c r="D227" s="18">
        <f>SUM(C227*1)</f>
        <v>94</v>
      </c>
      <c r="E227" s="19">
        <f aca="true" t="shared" si="15" ref="E227:E255">SUM(D227-F227)</f>
        <v>-2</v>
      </c>
      <c r="F227" s="73">
        <v>96</v>
      </c>
      <c r="G227" s="20">
        <v>45134</v>
      </c>
      <c r="H227" s="100">
        <f aca="true" t="shared" si="16" ref="H227:H255">SUM(F227/C227)</f>
        <v>1.0212765957446808</v>
      </c>
      <c r="I227" s="79">
        <v>3</v>
      </c>
      <c r="J227" s="79">
        <v>12</v>
      </c>
      <c r="K227" s="104"/>
      <c r="L227" s="46">
        <f>11+1+1</f>
        <v>13</v>
      </c>
      <c r="M227" s="64"/>
    </row>
    <row r="228" spans="1:13" ht="16.5" customHeight="1" thickBot="1">
      <c r="A228" s="15" t="s">
        <v>145</v>
      </c>
      <c r="B228" s="2" t="s">
        <v>414</v>
      </c>
      <c r="C228" s="73">
        <v>38</v>
      </c>
      <c r="D228" s="18">
        <f aca="true" t="shared" si="17" ref="D228:D255">SUM(C228*1)</f>
        <v>38</v>
      </c>
      <c r="E228" s="19">
        <f t="shared" si="15"/>
        <v>6</v>
      </c>
      <c r="F228" s="73">
        <v>32</v>
      </c>
      <c r="G228" s="20">
        <v>45071</v>
      </c>
      <c r="H228" s="70">
        <f t="shared" si="16"/>
        <v>0.8421052631578947</v>
      </c>
      <c r="I228" s="79"/>
      <c r="J228" s="79">
        <v>4</v>
      </c>
      <c r="K228" s="104"/>
      <c r="L228" s="46">
        <v>2</v>
      </c>
      <c r="M228" s="64"/>
    </row>
    <row r="229" spans="1:13" ht="16.5" customHeight="1" thickBot="1">
      <c r="A229" s="15" t="s">
        <v>146</v>
      </c>
      <c r="B229" s="2" t="s">
        <v>415</v>
      </c>
      <c r="C229" s="73">
        <v>235</v>
      </c>
      <c r="D229" s="18">
        <f t="shared" si="17"/>
        <v>235</v>
      </c>
      <c r="E229" s="19">
        <f t="shared" si="15"/>
        <v>19</v>
      </c>
      <c r="F229" s="73">
        <v>216</v>
      </c>
      <c r="G229" s="20">
        <v>45078</v>
      </c>
      <c r="H229" s="70">
        <f t="shared" si="16"/>
        <v>0.9191489361702128</v>
      </c>
      <c r="I229" s="79">
        <v>5</v>
      </c>
      <c r="J229" s="79">
        <v>18</v>
      </c>
      <c r="K229" s="104">
        <v>3</v>
      </c>
      <c r="L229" s="46">
        <f>30+2+2+1</f>
        <v>35</v>
      </c>
      <c r="M229" s="142"/>
    </row>
    <row r="230" spans="1:13" ht="16.5" customHeight="1" thickBot="1">
      <c r="A230" s="15" t="s">
        <v>147</v>
      </c>
      <c r="B230" s="2" t="s">
        <v>416</v>
      </c>
      <c r="C230" s="73">
        <v>177</v>
      </c>
      <c r="D230" s="18">
        <f t="shared" si="17"/>
        <v>177</v>
      </c>
      <c r="E230" s="19">
        <f t="shared" si="15"/>
        <v>11</v>
      </c>
      <c r="F230" s="73">
        <v>166</v>
      </c>
      <c r="G230" s="20">
        <v>45134</v>
      </c>
      <c r="H230" s="70">
        <f t="shared" si="16"/>
        <v>0.9378531073446328</v>
      </c>
      <c r="I230" s="79">
        <v>7</v>
      </c>
      <c r="J230" s="79">
        <v>10</v>
      </c>
      <c r="K230" s="104">
        <v>7</v>
      </c>
      <c r="L230" s="46">
        <f>29+2+3+1</f>
        <v>35</v>
      </c>
      <c r="M230" s="139"/>
    </row>
    <row r="231" spans="1:13" ht="16.5" customHeight="1" thickBot="1">
      <c r="A231" s="15" t="s">
        <v>148</v>
      </c>
      <c r="B231" s="2" t="s">
        <v>417</v>
      </c>
      <c r="C231" s="73">
        <v>73</v>
      </c>
      <c r="D231" s="18">
        <f t="shared" si="17"/>
        <v>73</v>
      </c>
      <c r="E231" s="19">
        <f t="shared" si="15"/>
        <v>5</v>
      </c>
      <c r="F231" s="73">
        <v>68</v>
      </c>
      <c r="G231" s="20">
        <v>45022</v>
      </c>
      <c r="H231" s="70">
        <f t="shared" si="16"/>
        <v>0.9315068493150684</v>
      </c>
      <c r="I231" s="79"/>
      <c r="J231" s="79">
        <v>41</v>
      </c>
      <c r="K231" s="104">
        <v>3</v>
      </c>
      <c r="L231" s="46">
        <f>5+1</f>
        <v>6</v>
      </c>
      <c r="M231" s="137"/>
    </row>
    <row r="232" spans="1:13" ht="16.5" customHeight="1" thickBot="1">
      <c r="A232" s="15" t="s">
        <v>149</v>
      </c>
      <c r="B232" s="14" t="s">
        <v>418</v>
      </c>
      <c r="C232" s="73">
        <v>21</v>
      </c>
      <c r="D232" s="18">
        <f t="shared" si="17"/>
        <v>21</v>
      </c>
      <c r="E232" s="19">
        <f t="shared" si="15"/>
        <v>12</v>
      </c>
      <c r="F232" s="73">
        <v>9</v>
      </c>
      <c r="G232" s="20">
        <v>45071</v>
      </c>
      <c r="H232" s="70">
        <f t="shared" si="16"/>
        <v>0.42857142857142855</v>
      </c>
      <c r="I232" s="79"/>
      <c r="J232" s="79">
        <v>1</v>
      </c>
      <c r="K232" s="104"/>
      <c r="L232" s="46">
        <f>6+1+1</f>
        <v>8</v>
      </c>
      <c r="M232" s="64"/>
    </row>
    <row r="233" spans="1:13" ht="16.5" customHeight="1" thickBot="1">
      <c r="A233" s="15" t="s">
        <v>150</v>
      </c>
      <c r="B233" s="2" t="s">
        <v>419</v>
      </c>
      <c r="C233" s="73">
        <v>80</v>
      </c>
      <c r="D233" s="18">
        <f t="shared" si="17"/>
        <v>80</v>
      </c>
      <c r="E233" s="19">
        <f t="shared" si="15"/>
        <v>4</v>
      </c>
      <c r="F233" s="73">
        <v>76</v>
      </c>
      <c r="G233" s="20">
        <v>45134</v>
      </c>
      <c r="H233" s="70">
        <f t="shared" si="16"/>
        <v>0.95</v>
      </c>
      <c r="I233" s="79">
        <v>3</v>
      </c>
      <c r="J233" s="79">
        <v>8</v>
      </c>
      <c r="K233" s="104">
        <v>1</v>
      </c>
      <c r="L233" s="46">
        <f>17+3+1</f>
        <v>21</v>
      </c>
      <c r="M233" s="140"/>
    </row>
    <row r="234" spans="1:13" ht="16.5" customHeight="1" thickBot="1">
      <c r="A234" s="15" t="s">
        <v>151</v>
      </c>
      <c r="B234" s="2" t="s">
        <v>420</v>
      </c>
      <c r="C234" s="73">
        <v>103</v>
      </c>
      <c r="D234" s="18">
        <f t="shared" si="17"/>
        <v>103</v>
      </c>
      <c r="E234" s="19">
        <f t="shared" si="15"/>
        <v>3</v>
      </c>
      <c r="F234" s="73">
        <v>100</v>
      </c>
      <c r="G234" s="20">
        <v>45071</v>
      </c>
      <c r="H234" s="70">
        <f t="shared" si="16"/>
        <v>0.970873786407767</v>
      </c>
      <c r="I234" s="79">
        <v>4</v>
      </c>
      <c r="J234" s="79">
        <v>12</v>
      </c>
      <c r="K234" s="104">
        <v>6</v>
      </c>
      <c r="L234" s="46">
        <f>11+2+1+1</f>
        <v>15</v>
      </c>
      <c r="M234" s="140"/>
    </row>
    <row r="235" spans="1:13" ht="16.5" customHeight="1" thickBot="1">
      <c r="A235" s="15" t="s">
        <v>152</v>
      </c>
      <c r="B235" s="2" t="s">
        <v>421</v>
      </c>
      <c r="C235" s="73">
        <v>196</v>
      </c>
      <c r="D235" s="18">
        <f t="shared" si="17"/>
        <v>196</v>
      </c>
      <c r="E235" s="19">
        <f t="shared" si="15"/>
        <v>10</v>
      </c>
      <c r="F235" s="73">
        <v>186</v>
      </c>
      <c r="G235" s="20">
        <v>45029</v>
      </c>
      <c r="H235" s="70">
        <f t="shared" si="16"/>
        <v>0.9489795918367347</v>
      </c>
      <c r="I235" s="79">
        <v>8</v>
      </c>
      <c r="J235" s="79">
        <v>18</v>
      </c>
      <c r="K235" s="111">
        <v>3</v>
      </c>
      <c r="L235" s="46">
        <f>27+1</f>
        <v>28</v>
      </c>
      <c r="M235" s="137"/>
    </row>
    <row r="236" spans="1:17" ht="16.5" customHeight="1" thickBot="1">
      <c r="A236" s="15" t="s">
        <v>153</v>
      </c>
      <c r="B236" s="2" t="s">
        <v>422</v>
      </c>
      <c r="C236" s="73">
        <v>39</v>
      </c>
      <c r="D236" s="18">
        <f t="shared" si="17"/>
        <v>39</v>
      </c>
      <c r="E236" s="19">
        <f t="shared" si="15"/>
        <v>1</v>
      </c>
      <c r="F236" s="73">
        <v>38</v>
      </c>
      <c r="G236" s="20">
        <v>45022</v>
      </c>
      <c r="H236" s="70">
        <f t="shared" si="16"/>
        <v>0.9743589743589743</v>
      </c>
      <c r="I236" s="79">
        <v>3</v>
      </c>
      <c r="J236" s="79">
        <v>4</v>
      </c>
      <c r="K236" s="104">
        <v>2</v>
      </c>
      <c r="L236" s="46">
        <f>6+1+1</f>
        <v>8</v>
      </c>
      <c r="M236" s="140"/>
      <c r="Q236" s="2" t="s">
        <v>0</v>
      </c>
    </row>
    <row r="237" spans="1:13" ht="16.5" customHeight="1" thickBot="1">
      <c r="A237" s="15" t="s">
        <v>154</v>
      </c>
      <c r="B237" s="2" t="s">
        <v>423</v>
      </c>
      <c r="C237" s="73">
        <v>70</v>
      </c>
      <c r="D237" s="18">
        <f t="shared" si="17"/>
        <v>70</v>
      </c>
      <c r="E237" s="19">
        <f t="shared" si="15"/>
        <v>9</v>
      </c>
      <c r="F237" s="73">
        <v>61</v>
      </c>
      <c r="G237" s="20">
        <v>45028</v>
      </c>
      <c r="H237" s="70">
        <f t="shared" si="16"/>
        <v>0.8714285714285714</v>
      </c>
      <c r="I237" s="79">
        <v>1</v>
      </c>
      <c r="J237" s="79">
        <v>8</v>
      </c>
      <c r="K237" s="104">
        <v>1</v>
      </c>
      <c r="L237" s="46">
        <f>6+3+1+1</f>
        <v>11</v>
      </c>
      <c r="M237" s="64"/>
    </row>
    <row r="238" spans="1:13" ht="16.5" customHeight="1" thickBot="1">
      <c r="A238" s="15" t="s">
        <v>155</v>
      </c>
      <c r="B238" s="2" t="s">
        <v>424</v>
      </c>
      <c r="C238" s="73">
        <v>85</v>
      </c>
      <c r="D238" s="18">
        <f t="shared" si="17"/>
        <v>85</v>
      </c>
      <c r="E238" s="19">
        <f t="shared" si="15"/>
        <v>11</v>
      </c>
      <c r="F238" s="73">
        <v>74</v>
      </c>
      <c r="G238" s="20">
        <v>45071</v>
      </c>
      <c r="H238" s="70">
        <f t="shared" si="16"/>
        <v>0.8705882352941177</v>
      </c>
      <c r="I238" s="79">
        <v>3</v>
      </c>
      <c r="J238" s="79">
        <v>11</v>
      </c>
      <c r="K238" s="104">
        <v>2</v>
      </c>
      <c r="L238" s="46">
        <f>8+1+1+2+1</f>
        <v>13</v>
      </c>
      <c r="M238" s="64"/>
    </row>
    <row r="239" spans="1:13" ht="16.5" customHeight="1" thickBot="1">
      <c r="A239" s="15" t="s">
        <v>156</v>
      </c>
      <c r="B239" s="2" t="s">
        <v>425</v>
      </c>
      <c r="C239" s="73">
        <v>45</v>
      </c>
      <c r="D239" s="18">
        <f t="shared" si="17"/>
        <v>45</v>
      </c>
      <c r="E239" s="19">
        <f t="shared" si="15"/>
        <v>35</v>
      </c>
      <c r="F239" s="73">
        <v>10</v>
      </c>
      <c r="G239" s="20">
        <v>45078</v>
      </c>
      <c r="H239" s="70">
        <f t="shared" si="16"/>
        <v>0.2222222222222222</v>
      </c>
      <c r="I239" s="79"/>
      <c r="J239" s="79">
        <v>3</v>
      </c>
      <c r="K239" s="104"/>
      <c r="L239" s="46">
        <f>2+1+2+1+1</f>
        <v>7</v>
      </c>
      <c r="M239" s="140"/>
    </row>
    <row r="240" spans="1:13" ht="16.5" customHeight="1" thickBot="1">
      <c r="A240" s="15" t="s">
        <v>157</v>
      </c>
      <c r="B240" s="2" t="s">
        <v>426</v>
      </c>
      <c r="C240" s="73">
        <v>72</v>
      </c>
      <c r="D240" s="18">
        <f t="shared" si="17"/>
        <v>72</v>
      </c>
      <c r="E240" s="19">
        <f t="shared" si="15"/>
        <v>15</v>
      </c>
      <c r="F240" s="73">
        <v>57</v>
      </c>
      <c r="G240" s="20">
        <v>45036</v>
      </c>
      <c r="H240" s="70">
        <f t="shared" si="16"/>
        <v>0.7916666666666666</v>
      </c>
      <c r="I240" s="79">
        <v>2</v>
      </c>
      <c r="J240" s="79">
        <v>5</v>
      </c>
      <c r="K240" s="104">
        <v>1</v>
      </c>
      <c r="L240" s="46">
        <v>6</v>
      </c>
      <c r="M240" s="64"/>
    </row>
    <row r="241" spans="1:13" ht="16.5" customHeight="1" thickBot="1">
      <c r="A241" s="15" t="s">
        <v>158</v>
      </c>
      <c r="B241" s="2" t="s">
        <v>427</v>
      </c>
      <c r="C241" s="73">
        <v>121</v>
      </c>
      <c r="D241" s="18">
        <f t="shared" si="17"/>
        <v>121</v>
      </c>
      <c r="E241" s="19">
        <f t="shared" si="15"/>
        <v>14</v>
      </c>
      <c r="F241" s="73">
        <v>107</v>
      </c>
      <c r="G241" s="20">
        <v>45022</v>
      </c>
      <c r="H241" s="70">
        <f t="shared" si="16"/>
        <v>0.8842975206611571</v>
      </c>
      <c r="I241" s="79">
        <v>2</v>
      </c>
      <c r="J241" s="79">
        <v>16</v>
      </c>
      <c r="K241" s="104">
        <v>1</v>
      </c>
      <c r="L241" s="46">
        <v>26</v>
      </c>
      <c r="M241" s="64"/>
    </row>
    <row r="242" spans="1:13" ht="16.5" customHeight="1" thickBot="1">
      <c r="A242" s="15">
        <v>114</v>
      </c>
      <c r="B242" s="2" t="s">
        <v>428</v>
      </c>
      <c r="C242" s="73">
        <v>69</v>
      </c>
      <c r="D242" s="18">
        <f t="shared" si="17"/>
        <v>69</v>
      </c>
      <c r="E242" s="19">
        <f t="shared" si="15"/>
        <v>14</v>
      </c>
      <c r="F242" s="73">
        <v>55</v>
      </c>
      <c r="G242" s="20">
        <v>45007</v>
      </c>
      <c r="H242" s="70">
        <f t="shared" si="16"/>
        <v>0.7971014492753623</v>
      </c>
      <c r="I242" s="79"/>
      <c r="J242" s="79">
        <v>5</v>
      </c>
      <c r="K242" s="104">
        <v>1</v>
      </c>
      <c r="L242" s="46">
        <f>12+2</f>
        <v>14</v>
      </c>
      <c r="M242" s="137"/>
    </row>
    <row r="243" spans="1:13" ht="16.5" customHeight="1" thickBot="1">
      <c r="A243" s="15" t="s">
        <v>159</v>
      </c>
      <c r="B243" s="2" t="s">
        <v>429</v>
      </c>
      <c r="C243" s="73">
        <v>203</v>
      </c>
      <c r="D243" s="18">
        <f t="shared" si="17"/>
        <v>203</v>
      </c>
      <c r="E243" s="19">
        <f t="shared" si="15"/>
        <v>3</v>
      </c>
      <c r="F243" s="73">
        <v>200</v>
      </c>
      <c r="G243" s="20">
        <v>45120</v>
      </c>
      <c r="H243" s="70">
        <f t="shared" si="16"/>
        <v>0.9852216748768473</v>
      </c>
      <c r="I243" s="79">
        <v>8</v>
      </c>
      <c r="J243" s="79">
        <v>17</v>
      </c>
      <c r="K243" s="104">
        <v>1</v>
      </c>
      <c r="L243" s="46">
        <f>29+1+2+2</f>
        <v>34</v>
      </c>
      <c r="M243" s="137"/>
    </row>
    <row r="244" spans="1:13" ht="16.5" customHeight="1" thickBot="1">
      <c r="A244" s="136" t="s">
        <v>160</v>
      </c>
      <c r="B244" s="69" t="s">
        <v>670</v>
      </c>
      <c r="C244" s="73">
        <v>37</v>
      </c>
      <c r="D244" s="18">
        <f t="shared" si="17"/>
        <v>37</v>
      </c>
      <c r="E244" s="19">
        <f t="shared" si="15"/>
        <v>5</v>
      </c>
      <c r="F244" s="73">
        <v>32</v>
      </c>
      <c r="G244" s="20">
        <v>45022</v>
      </c>
      <c r="H244" s="70">
        <f t="shared" si="16"/>
        <v>0.8648648648648649</v>
      </c>
      <c r="I244" s="79"/>
      <c r="J244" s="79">
        <v>4</v>
      </c>
      <c r="K244" s="104"/>
      <c r="L244" s="46">
        <f>6+1</f>
        <v>7</v>
      </c>
      <c r="M244" s="137"/>
    </row>
    <row r="245" spans="1:13" ht="16.5" customHeight="1" thickBot="1">
      <c r="A245" s="15" t="s">
        <v>161</v>
      </c>
      <c r="B245" s="14" t="s">
        <v>430</v>
      </c>
      <c r="C245" s="73">
        <v>28</v>
      </c>
      <c r="D245" s="18">
        <f t="shared" si="17"/>
        <v>28</v>
      </c>
      <c r="E245" s="19">
        <f t="shared" si="15"/>
        <v>0</v>
      </c>
      <c r="F245" s="73">
        <v>28</v>
      </c>
      <c r="G245" s="20">
        <v>44967</v>
      </c>
      <c r="H245" s="151">
        <f t="shared" si="16"/>
        <v>1</v>
      </c>
      <c r="I245" s="79"/>
      <c r="J245" s="79">
        <v>4</v>
      </c>
      <c r="K245" s="104">
        <v>3</v>
      </c>
      <c r="L245" s="46">
        <f>3+1</f>
        <v>4</v>
      </c>
      <c r="M245" s="64"/>
    </row>
    <row r="246" spans="1:13" ht="16.5" customHeight="1" thickBot="1">
      <c r="A246" s="15" t="s">
        <v>162</v>
      </c>
      <c r="B246" s="2" t="s">
        <v>431</v>
      </c>
      <c r="C246" s="73">
        <v>77</v>
      </c>
      <c r="D246" s="18">
        <f t="shared" si="17"/>
        <v>77</v>
      </c>
      <c r="E246" s="19">
        <f t="shared" si="15"/>
        <v>1</v>
      </c>
      <c r="F246" s="73">
        <v>76</v>
      </c>
      <c r="G246" s="20">
        <v>45029</v>
      </c>
      <c r="H246" s="70">
        <f t="shared" si="16"/>
        <v>0.987012987012987</v>
      </c>
      <c r="I246" s="79">
        <v>4</v>
      </c>
      <c r="J246" s="79">
        <v>8</v>
      </c>
      <c r="K246" s="104"/>
      <c r="L246" s="46">
        <v>5</v>
      </c>
      <c r="M246" s="137"/>
    </row>
    <row r="247" spans="1:13" ht="16.5" customHeight="1" thickBot="1">
      <c r="A247" s="15" t="s">
        <v>163</v>
      </c>
      <c r="B247" s="2" t="s">
        <v>432</v>
      </c>
      <c r="C247" s="73">
        <v>63</v>
      </c>
      <c r="D247" s="18">
        <f t="shared" si="17"/>
        <v>63</v>
      </c>
      <c r="E247" s="19">
        <f t="shared" si="15"/>
        <v>0</v>
      </c>
      <c r="F247" s="73">
        <v>63</v>
      </c>
      <c r="G247" s="20">
        <v>45056</v>
      </c>
      <c r="H247" s="100">
        <f t="shared" si="16"/>
        <v>1</v>
      </c>
      <c r="I247" s="79">
        <v>3</v>
      </c>
      <c r="J247" s="79">
        <v>5</v>
      </c>
      <c r="K247" s="104">
        <v>1</v>
      </c>
      <c r="L247" s="46">
        <f>10+1</f>
        <v>11</v>
      </c>
      <c r="M247" s="137"/>
    </row>
    <row r="248" spans="1:13" ht="16.5" customHeight="1" thickBot="1">
      <c r="A248" s="15" t="s">
        <v>164</v>
      </c>
      <c r="B248" s="2" t="s">
        <v>433</v>
      </c>
      <c r="C248" s="73">
        <v>36</v>
      </c>
      <c r="D248" s="18">
        <f t="shared" si="17"/>
        <v>36</v>
      </c>
      <c r="E248" s="19">
        <f t="shared" si="15"/>
        <v>5</v>
      </c>
      <c r="F248" s="73">
        <v>31</v>
      </c>
      <c r="G248" s="20">
        <v>45093</v>
      </c>
      <c r="H248" s="70">
        <f t="shared" si="16"/>
        <v>0.8611111111111112</v>
      </c>
      <c r="I248" s="79"/>
      <c r="J248" s="79">
        <v>2</v>
      </c>
      <c r="K248" s="104"/>
      <c r="L248" s="46">
        <f>1+1</f>
        <v>2</v>
      </c>
      <c r="M248" s="137"/>
    </row>
    <row r="249" spans="1:13" ht="16.5" customHeight="1" thickBot="1">
      <c r="A249" s="156" t="s">
        <v>165</v>
      </c>
      <c r="B249" s="2" t="s">
        <v>434</v>
      </c>
      <c r="C249" s="73">
        <v>94</v>
      </c>
      <c r="D249" s="18">
        <f t="shared" si="17"/>
        <v>94</v>
      </c>
      <c r="E249" s="19">
        <f t="shared" si="15"/>
        <v>-3</v>
      </c>
      <c r="F249" s="73">
        <v>97</v>
      </c>
      <c r="G249" s="20">
        <v>45078</v>
      </c>
      <c r="H249" s="100">
        <f t="shared" si="16"/>
        <v>1.0319148936170213</v>
      </c>
      <c r="I249" s="79">
        <v>10</v>
      </c>
      <c r="J249" s="79">
        <v>7</v>
      </c>
      <c r="K249" s="104">
        <v>3</v>
      </c>
      <c r="L249" s="46">
        <f>24+1</f>
        <v>25</v>
      </c>
      <c r="M249" s="137"/>
    </row>
    <row r="250" spans="1:13" ht="16.5" customHeight="1" thickBot="1">
      <c r="A250" s="15" t="s">
        <v>166</v>
      </c>
      <c r="B250" s="2" t="s">
        <v>435</v>
      </c>
      <c r="C250" s="73">
        <v>204</v>
      </c>
      <c r="D250" s="18">
        <f t="shared" si="17"/>
        <v>204</v>
      </c>
      <c r="E250" s="19">
        <f t="shared" si="15"/>
        <v>24</v>
      </c>
      <c r="F250" s="73">
        <v>180</v>
      </c>
      <c r="G250" s="20">
        <v>45134</v>
      </c>
      <c r="H250" s="70">
        <f t="shared" si="16"/>
        <v>0.8823529411764706</v>
      </c>
      <c r="I250" s="79">
        <v>7</v>
      </c>
      <c r="J250" s="79">
        <v>20</v>
      </c>
      <c r="K250" s="104"/>
      <c r="L250" s="46">
        <f>20+1+1+2</f>
        <v>24</v>
      </c>
      <c r="M250" s="137"/>
    </row>
    <row r="251" spans="1:13" ht="16.5" customHeight="1" thickBot="1">
      <c r="A251" s="15" t="s">
        <v>167</v>
      </c>
      <c r="B251" s="2" t="s">
        <v>436</v>
      </c>
      <c r="C251" s="73">
        <v>90</v>
      </c>
      <c r="D251" s="18">
        <f t="shared" si="17"/>
        <v>90</v>
      </c>
      <c r="E251" s="19">
        <f t="shared" si="15"/>
        <v>3</v>
      </c>
      <c r="F251" s="73">
        <v>87</v>
      </c>
      <c r="G251" s="20">
        <v>45078</v>
      </c>
      <c r="H251" s="70">
        <f t="shared" si="16"/>
        <v>0.9666666666666667</v>
      </c>
      <c r="I251" s="79">
        <v>2</v>
      </c>
      <c r="J251" s="79">
        <v>6</v>
      </c>
      <c r="K251" s="104"/>
      <c r="L251" s="46">
        <f>14+2+1+1</f>
        <v>18</v>
      </c>
      <c r="M251" s="137"/>
    </row>
    <row r="252" spans="1:13" ht="16.5" customHeight="1" thickBot="1">
      <c r="A252" s="15" t="s">
        <v>168</v>
      </c>
      <c r="B252" s="2" t="s">
        <v>437</v>
      </c>
      <c r="C252" s="73">
        <v>22</v>
      </c>
      <c r="D252" s="18">
        <f t="shared" si="17"/>
        <v>22</v>
      </c>
      <c r="E252" s="19">
        <f t="shared" si="15"/>
        <v>0</v>
      </c>
      <c r="F252" s="73">
        <v>22</v>
      </c>
      <c r="G252" s="20">
        <v>45071</v>
      </c>
      <c r="H252" s="100">
        <f t="shared" si="16"/>
        <v>1</v>
      </c>
      <c r="I252" s="79"/>
      <c r="J252" s="79">
        <v>3</v>
      </c>
      <c r="K252" s="104"/>
      <c r="L252" s="46">
        <f>2+1</f>
        <v>3</v>
      </c>
      <c r="M252" s="137"/>
    </row>
    <row r="253" spans="1:13" ht="15.75" customHeight="1" thickBot="1">
      <c r="A253" s="15" t="s">
        <v>169</v>
      </c>
      <c r="B253" s="2" t="s">
        <v>438</v>
      </c>
      <c r="C253" s="73">
        <v>28</v>
      </c>
      <c r="D253" s="18">
        <f t="shared" si="17"/>
        <v>28</v>
      </c>
      <c r="E253" s="19">
        <f t="shared" si="15"/>
        <v>15</v>
      </c>
      <c r="F253" s="73">
        <v>13</v>
      </c>
      <c r="G253" s="20">
        <v>44985</v>
      </c>
      <c r="H253" s="70">
        <f t="shared" si="16"/>
        <v>0.4642857142857143</v>
      </c>
      <c r="I253" s="79"/>
      <c r="J253" s="79">
        <v>2</v>
      </c>
      <c r="K253" s="104"/>
      <c r="L253" s="46">
        <f>3+1+1</f>
        <v>5</v>
      </c>
      <c r="M253" s="137"/>
    </row>
    <row r="254" spans="1:13" ht="16.5" customHeight="1" thickBot="1">
      <c r="A254" s="15" t="s">
        <v>170</v>
      </c>
      <c r="B254" s="2" t="s">
        <v>439</v>
      </c>
      <c r="C254" s="73">
        <v>54</v>
      </c>
      <c r="D254" s="18">
        <f t="shared" si="17"/>
        <v>54</v>
      </c>
      <c r="E254" s="19">
        <f t="shared" si="15"/>
        <v>13</v>
      </c>
      <c r="F254" s="73">
        <v>41</v>
      </c>
      <c r="G254" s="20">
        <v>45120</v>
      </c>
      <c r="H254" s="70">
        <f t="shared" si="16"/>
        <v>0.7592592592592593</v>
      </c>
      <c r="I254" s="79">
        <v>1</v>
      </c>
      <c r="J254" s="79">
        <v>11</v>
      </c>
      <c r="K254" s="104"/>
      <c r="L254" s="46">
        <v>4</v>
      </c>
      <c r="M254" s="64"/>
    </row>
    <row r="255" spans="1:13" ht="16.5" customHeight="1" thickBot="1">
      <c r="A255" s="15" t="s">
        <v>171</v>
      </c>
      <c r="B255" s="2" t="s">
        <v>440</v>
      </c>
      <c r="C255" s="73">
        <v>153</v>
      </c>
      <c r="D255" s="18">
        <f t="shared" si="17"/>
        <v>153</v>
      </c>
      <c r="E255" s="19">
        <f t="shared" si="15"/>
        <v>29</v>
      </c>
      <c r="F255" s="73">
        <v>124</v>
      </c>
      <c r="G255" s="20">
        <v>45106</v>
      </c>
      <c r="H255" s="70">
        <f t="shared" si="16"/>
        <v>0.8104575163398693</v>
      </c>
      <c r="I255" s="79">
        <v>4</v>
      </c>
      <c r="J255" s="79">
        <v>2</v>
      </c>
      <c r="K255" s="104">
        <v>1</v>
      </c>
      <c r="L255" s="46">
        <f>19+4+3+6</f>
        <v>32</v>
      </c>
      <c r="M255" s="64"/>
    </row>
    <row r="256" spans="1:11" ht="16.5" customHeight="1">
      <c r="A256" s="2"/>
      <c r="C256" s="22"/>
      <c r="D256" s="22"/>
      <c r="E256" s="27"/>
      <c r="G256" s="23"/>
      <c r="H256" s="24"/>
      <c r="I256" s="11"/>
      <c r="K256" s="2"/>
    </row>
    <row r="257" spans="2:11" ht="16.5" customHeight="1" thickBot="1">
      <c r="B257" s="14" t="s">
        <v>657</v>
      </c>
      <c r="C257" s="126">
        <v>52</v>
      </c>
      <c r="D257" s="22"/>
      <c r="E257" s="27"/>
      <c r="G257" s="23"/>
      <c r="H257" s="24"/>
      <c r="I257" s="11"/>
      <c r="K257" s="2"/>
    </row>
    <row r="258" spans="2:13" ht="16.5" customHeight="1" thickBot="1">
      <c r="B258" s="15" t="s">
        <v>411</v>
      </c>
      <c r="C258" s="18">
        <f>SUM(C227:C257)</f>
        <v>2659</v>
      </c>
      <c r="D258" s="18">
        <f>SUM(C258*1)</f>
        <v>2659</v>
      </c>
      <c r="E258" s="19">
        <f>SUM(D258-F258)</f>
        <v>314</v>
      </c>
      <c r="F258" s="17">
        <f>SUM(F227:F255)</f>
        <v>2345</v>
      </c>
      <c r="G258" s="20"/>
      <c r="H258" s="21">
        <f>SUM(F258/C258)</f>
        <v>0.881910492666416</v>
      </c>
      <c r="I258" s="79">
        <f>SUM(I227:I255)</f>
        <v>80</v>
      </c>
      <c r="J258" s="79">
        <f>SUM(J227:J255)</f>
        <v>267</v>
      </c>
      <c r="K258" s="79">
        <f>SUM(K227:K255)</f>
        <v>40</v>
      </c>
      <c r="L258" s="17">
        <f>SUM(L227:L255)</f>
        <v>422</v>
      </c>
      <c r="M258" s="64">
        <f>SUM(M227:M255)</f>
        <v>0</v>
      </c>
    </row>
    <row r="259" spans="1:11" ht="16.5" customHeight="1">
      <c r="A259" s="84" t="str">
        <f>A23</f>
        <v> TARGET DATE : 05/17/2023    100%</v>
      </c>
      <c r="B259" s="116"/>
      <c r="C259" s="22"/>
      <c r="D259" s="22"/>
      <c r="E259" s="27"/>
      <c r="G259" s="23"/>
      <c r="H259" s="24"/>
      <c r="I259" s="11"/>
      <c r="K259" s="2"/>
    </row>
    <row r="260" spans="2:11" ht="16.5" customHeight="1">
      <c r="B260" s="2" t="s">
        <v>678</v>
      </c>
      <c r="D260" s="53"/>
      <c r="E260" s="10"/>
      <c r="G260" s="23"/>
      <c r="I260" s="11"/>
      <c r="K260" s="2"/>
    </row>
    <row r="261" spans="2:11" ht="16.5" customHeight="1">
      <c r="B261" s="99"/>
      <c r="C261" s="8"/>
      <c r="D261" s="22"/>
      <c r="E261" s="27"/>
      <c r="G261" s="23"/>
      <c r="H261" s="24"/>
      <c r="I261" s="11"/>
      <c r="K261" s="2"/>
    </row>
    <row r="262" spans="3:11" ht="16.5" customHeight="1">
      <c r="C262" s="22"/>
      <c r="D262" s="22"/>
      <c r="E262" s="22"/>
      <c r="G262" s="23"/>
      <c r="H262" s="24"/>
      <c r="I262" s="11"/>
      <c r="K262" s="2"/>
    </row>
    <row r="263" spans="1:11" ht="16.5" customHeight="1">
      <c r="A263" s="14" t="s">
        <v>441</v>
      </c>
      <c r="C263" s="22"/>
      <c r="D263" s="22"/>
      <c r="E263" s="22"/>
      <c r="F263" s="13"/>
      <c r="G263" s="25"/>
      <c r="H263" s="77">
        <f>F3</f>
        <v>45134</v>
      </c>
      <c r="I263" s="11"/>
      <c r="K263" s="2"/>
    </row>
    <row r="264" spans="1:11" ht="16.5" customHeight="1">
      <c r="A264" s="14" t="s">
        <v>660</v>
      </c>
      <c r="C264" s="22"/>
      <c r="D264" s="22"/>
      <c r="E264" s="22"/>
      <c r="G264" s="29"/>
      <c r="H264" s="24"/>
      <c r="I264" s="11"/>
      <c r="K264" s="2"/>
    </row>
    <row r="265" spans="3:13" ht="16.5" customHeight="1">
      <c r="C265" s="22"/>
      <c r="D265" s="22"/>
      <c r="E265" s="22"/>
      <c r="G265" s="29"/>
      <c r="H265" s="24"/>
      <c r="I265" s="11"/>
      <c r="K265" s="3" t="s">
        <v>627</v>
      </c>
      <c r="L265" s="11" t="s">
        <v>574</v>
      </c>
      <c r="M265" s="3" t="s">
        <v>652</v>
      </c>
    </row>
    <row r="266" spans="1:13" ht="16.5" customHeight="1">
      <c r="A266" s="59"/>
      <c r="C266" s="8">
        <f>C7</f>
        <v>2023</v>
      </c>
      <c r="D266" s="4">
        <f>D7</f>
        <v>1</v>
      </c>
      <c r="E266" s="8" t="s">
        <v>547</v>
      </c>
      <c r="F266" s="3" t="s">
        <v>548</v>
      </c>
      <c r="G266" s="5" t="s">
        <v>550</v>
      </c>
      <c r="H266" s="6" t="s">
        <v>559</v>
      </c>
      <c r="I266" s="11"/>
      <c r="K266" s="3" t="s">
        <v>561</v>
      </c>
      <c r="L266" s="11" t="s">
        <v>575</v>
      </c>
      <c r="M266" s="3" t="s">
        <v>561</v>
      </c>
    </row>
    <row r="267" spans="1:13" ht="16.5" customHeight="1" thickBot="1">
      <c r="A267" s="2"/>
      <c r="C267" s="8" t="s">
        <v>558</v>
      </c>
      <c r="D267" s="8" t="s">
        <v>546</v>
      </c>
      <c r="E267" s="4">
        <f>E8</f>
        <v>1</v>
      </c>
      <c r="F267" s="3" t="str">
        <f>F8</f>
        <v>2023 MEMB</v>
      </c>
      <c r="G267" s="5" t="s">
        <v>551</v>
      </c>
      <c r="H267" s="7" t="s">
        <v>558</v>
      </c>
      <c r="I267" s="3" t="str">
        <f>I8</f>
        <v>NEW</v>
      </c>
      <c r="J267" s="3" t="s">
        <v>556</v>
      </c>
      <c r="K267" s="3" t="s">
        <v>628</v>
      </c>
      <c r="L267" s="11" t="s">
        <v>576</v>
      </c>
      <c r="M267" s="3">
        <v>462</v>
      </c>
    </row>
    <row r="268" spans="1:13" ht="16.5" customHeight="1" thickBot="1">
      <c r="A268" s="15" t="s">
        <v>172</v>
      </c>
      <c r="B268" s="2" t="s">
        <v>599</v>
      </c>
      <c r="C268" s="91">
        <v>161</v>
      </c>
      <c r="D268" s="74">
        <f>SUM(C268*1)</f>
        <v>161</v>
      </c>
      <c r="E268" s="19">
        <f>SUM(D268-F268)</f>
        <v>-3</v>
      </c>
      <c r="F268" s="91">
        <v>164</v>
      </c>
      <c r="G268" s="20">
        <v>45055</v>
      </c>
      <c r="H268" s="100">
        <f>SUM(F268/C268)</f>
        <v>1.0186335403726707</v>
      </c>
      <c r="I268" s="79">
        <v>5</v>
      </c>
      <c r="J268" s="79">
        <v>52</v>
      </c>
      <c r="K268" s="104"/>
      <c r="L268" s="46">
        <f>13+1+2</f>
        <v>16</v>
      </c>
      <c r="M268" s="64"/>
    </row>
    <row r="269" spans="1:13" ht="16.5" customHeight="1" thickBot="1">
      <c r="A269" s="15" t="s">
        <v>173</v>
      </c>
      <c r="B269" s="2" t="s">
        <v>671</v>
      </c>
      <c r="C269" s="91">
        <v>24</v>
      </c>
      <c r="D269" s="74">
        <f aca="true" t="shared" si="18" ref="D269:D288">SUM(C269*1)</f>
        <v>24</v>
      </c>
      <c r="E269" s="19">
        <f>SUM(D269-F269)</f>
        <v>11</v>
      </c>
      <c r="F269" s="91">
        <v>13</v>
      </c>
      <c r="G269" s="20">
        <v>45093</v>
      </c>
      <c r="H269" s="70">
        <f>SUM(F269/C269)</f>
        <v>0.5416666666666666</v>
      </c>
      <c r="I269" s="79"/>
      <c r="J269" s="79">
        <v>2</v>
      </c>
      <c r="K269" s="104"/>
      <c r="L269" s="46">
        <f>1+1</f>
        <v>2</v>
      </c>
      <c r="M269" s="64"/>
    </row>
    <row r="270" spans="1:13" ht="16.5" customHeight="1" thickBot="1">
      <c r="A270" s="15" t="s">
        <v>174</v>
      </c>
      <c r="B270" s="2" t="s">
        <v>601</v>
      </c>
      <c r="C270" s="91">
        <v>68</v>
      </c>
      <c r="D270" s="74">
        <f t="shared" si="18"/>
        <v>68</v>
      </c>
      <c r="E270" s="19">
        <f>SUM(D270-F270)</f>
        <v>5</v>
      </c>
      <c r="F270" s="91">
        <v>63</v>
      </c>
      <c r="G270" s="20">
        <v>45063</v>
      </c>
      <c r="H270" s="70">
        <f>SUM(F270/C270)</f>
        <v>0.9264705882352942</v>
      </c>
      <c r="I270" s="79">
        <v>4</v>
      </c>
      <c r="J270" s="79">
        <v>12</v>
      </c>
      <c r="K270" s="104">
        <v>1</v>
      </c>
      <c r="L270" s="46">
        <f>7+1</f>
        <v>8</v>
      </c>
      <c r="M270" s="64"/>
    </row>
    <row r="271" spans="1:13" ht="16.5" customHeight="1" thickBot="1">
      <c r="A271" s="15" t="s">
        <v>175</v>
      </c>
      <c r="B271" s="2" t="s">
        <v>598</v>
      </c>
      <c r="C271" s="91">
        <v>31</v>
      </c>
      <c r="D271" s="74">
        <f t="shared" si="18"/>
        <v>31</v>
      </c>
      <c r="E271" s="19">
        <f>SUM(D271-F271)</f>
        <v>1</v>
      </c>
      <c r="F271" s="91">
        <v>30</v>
      </c>
      <c r="G271" s="20">
        <v>45106</v>
      </c>
      <c r="H271" s="70">
        <f>SUM(F271/C271)</f>
        <v>0.967741935483871</v>
      </c>
      <c r="I271" s="79"/>
      <c r="J271" s="79">
        <v>8</v>
      </c>
      <c r="K271" s="104">
        <v>2</v>
      </c>
      <c r="L271" s="46">
        <f>6+1+1</f>
        <v>8</v>
      </c>
      <c r="M271" s="64"/>
    </row>
    <row r="272" spans="1:13" ht="16.5" customHeight="1" thickBot="1">
      <c r="A272" s="15" t="s">
        <v>176</v>
      </c>
      <c r="B272" s="2" t="s">
        <v>597</v>
      </c>
      <c r="C272" s="91">
        <v>74</v>
      </c>
      <c r="D272" s="74">
        <f t="shared" si="18"/>
        <v>74</v>
      </c>
      <c r="E272" s="19">
        <f aca="true" t="shared" si="19" ref="E272:E281">SUM(D272-F272)</f>
        <v>7</v>
      </c>
      <c r="F272" s="91">
        <v>67</v>
      </c>
      <c r="G272" s="20">
        <v>45134</v>
      </c>
      <c r="H272" s="70">
        <f aca="true" t="shared" si="20" ref="H272:H288">SUM(F272/C272)</f>
        <v>0.9054054054054054</v>
      </c>
      <c r="I272" s="79">
        <v>1</v>
      </c>
      <c r="J272" s="79">
        <v>17</v>
      </c>
      <c r="K272" s="104"/>
      <c r="L272" s="46">
        <v>5</v>
      </c>
      <c r="M272" s="64">
        <v>1</v>
      </c>
    </row>
    <row r="273" spans="1:13" ht="16.5" customHeight="1" thickBot="1">
      <c r="A273" s="15" t="s">
        <v>177</v>
      </c>
      <c r="B273" s="2" t="s">
        <v>672</v>
      </c>
      <c r="C273" s="91">
        <v>20</v>
      </c>
      <c r="D273" s="74">
        <f t="shared" si="18"/>
        <v>20</v>
      </c>
      <c r="E273" s="19">
        <f t="shared" si="19"/>
        <v>9</v>
      </c>
      <c r="F273" s="91">
        <v>11</v>
      </c>
      <c r="G273" s="20">
        <v>44907</v>
      </c>
      <c r="H273" s="70">
        <f t="shared" si="20"/>
        <v>0.55</v>
      </c>
      <c r="I273" s="79"/>
      <c r="J273" s="79">
        <v>3</v>
      </c>
      <c r="K273" s="104">
        <v>1</v>
      </c>
      <c r="L273" s="46">
        <v>5</v>
      </c>
      <c r="M273" s="64"/>
    </row>
    <row r="274" spans="1:13" ht="16.5" customHeight="1" thickBot="1">
      <c r="A274" s="15" t="s">
        <v>178</v>
      </c>
      <c r="B274" s="2" t="s">
        <v>442</v>
      </c>
      <c r="C274" s="91">
        <v>149</v>
      </c>
      <c r="D274" s="74">
        <f t="shared" si="18"/>
        <v>149</v>
      </c>
      <c r="E274" s="19">
        <f t="shared" si="19"/>
        <v>21</v>
      </c>
      <c r="F274" s="91">
        <v>128</v>
      </c>
      <c r="G274" s="20">
        <v>45120</v>
      </c>
      <c r="H274" s="70">
        <f t="shared" si="20"/>
        <v>0.8590604026845637</v>
      </c>
      <c r="I274" s="79">
        <v>1</v>
      </c>
      <c r="J274" s="79">
        <v>23</v>
      </c>
      <c r="K274" s="104">
        <v>5</v>
      </c>
      <c r="L274" s="46">
        <f>22+1+3+1</f>
        <v>27</v>
      </c>
      <c r="M274" s="64"/>
    </row>
    <row r="275" spans="1:13" ht="16.5" customHeight="1" thickBot="1">
      <c r="A275" s="15" t="s">
        <v>179</v>
      </c>
      <c r="B275" s="2" t="s">
        <v>443</v>
      </c>
      <c r="C275" s="91">
        <v>53</v>
      </c>
      <c r="D275" s="74">
        <f t="shared" si="18"/>
        <v>53</v>
      </c>
      <c r="E275" s="19">
        <f t="shared" si="19"/>
        <v>12</v>
      </c>
      <c r="F275" s="91">
        <v>41</v>
      </c>
      <c r="G275" s="20">
        <v>45071</v>
      </c>
      <c r="H275" s="70">
        <f t="shared" si="20"/>
        <v>0.7735849056603774</v>
      </c>
      <c r="I275" s="79"/>
      <c r="J275" s="79">
        <v>3</v>
      </c>
      <c r="K275" s="104"/>
      <c r="L275" s="46">
        <f>6+2+1+1</f>
        <v>10</v>
      </c>
      <c r="M275" s="64"/>
    </row>
    <row r="276" spans="1:13" ht="16.5" customHeight="1" thickBot="1">
      <c r="A276" s="15" t="s">
        <v>180</v>
      </c>
      <c r="B276" s="2" t="s">
        <v>444</v>
      </c>
      <c r="C276" s="91">
        <v>41</v>
      </c>
      <c r="D276" s="74">
        <f t="shared" si="18"/>
        <v>41</v>
      </c>
      <c r="E276" s="19">
        <f t="shared" si="19"/>
        <v>7</v>
      </c>
      <c r="F276" s="91">
        <v>34</v>
      </c>
      <c r="G276" s="20">
        <v>45022</v>
      </c>
      <c r="H276" s="70">
        <f t="shared" si="20"/>
        <v>0.8292682926829268</v>
      </c>
      <c r="I276" s="79">
        <v>2</v>
      </c>
      <c r="J276" s="79">
        <v>8</v>
      </c>
      <c r="K276" s="104"/>
      <c r="L276" s="46">
        <f>7+1+1</f>
        <v>9</v>
      </c>
      <c r="M276" s="64">
        <v>1</v>
      </c>
    </row>
    <row r="277" spans="1:13" ht="16.5" customHeight="1" thickBot="1">
      <c r="A277" s="154" t="s">
        <v>181</v>
      </c>
      <c r="B277" s="2" t="s">
        <v>445</v>
      </c>
      <c r="C277" s="91">
        <v>93</v>
      </c>
      <c r="D277" s="74">
        <f t="shared" si="18"/>
        <v>93</v>
      </c>
      <c r="E277" s="19">
        <f t="shared" si="19"/>
        <v>-16</v>
      </c>
      <c r="F277" s="91">
        <v>109</v>
      </c>
      <c r="G277" s="20">
        <v>45106</v>
      </c>
      <c r="H277" s="151">
        <f t="shared" si="20"/>
        <v>1.1720430107526882</v>
      </c>
      <c r="I277" s="79">
        <v>24</v>
      </c>
      <c r="J277" s="79">
        <v>7</v>
      </c>
      <c r="K277" s="104">
        <v>5</v>
      </c>
      <c r="L277" s="46">
        <f>13+1+1+1</f>
        <v>16</v>
      </c>
      <c r="M277" s="64"/>
    </row>
    <row r="278" spans="1:13" ht="16.5" customHeight="1" thickBot="1">
      <c r="A278" s="15" t="s">
        <v>182</v>
      </c>
      <c r="B278" s="2" t="s">
        <v>446</v>
      </c>
      <c r="C278" s="91">
        <v>78</v>
      </c>
      <c r="D278" s="74">
        <f t="shared" si="18"/>
        <v>78</v>
      </c>
      <c r="E278" s="19">
        <f t="shared" si="19"/>
        <v>20</v>
      </c>
      <c r="F278" s="91">
        <v>58</v>
      </c>
      <c r="G278" s="20">
        <v>45056</v>
      </c>
      <c r="H278" s="70">
        <f t="shared" si="20"/>
        <v>0.7435897435897436</v>
      </c>
      <c r="I278" s="79">
        <v>1</v>
      </c>
      <c r="J278" s="79">
        <v>13</v>
      </c>
      <c r="K278" s="104">
        <v>4</v>
      </c>
      <c r="L278" s="46">
        <f>10+1+1</f>
        <v>12</v>
      </c>
      <c r="M278" s="64"/>
    </row>
    <row r="279" spans="1:13" ht="16.5" customHeight="1" thickBot="1">
      <c r="A279" s="154" t="s">
        <v>183</v>
      </c>
      <c r="B279" s="2" t="s">
        <v>596</v>
      </c>
      <c r="C279" s="91">
        <v>18</v>
      </c>
      <c r="D279" s="74">
        <f t="shared" si="18"/>
        <v>18</v>
      </c>
      <c r="E279" s="19">
        <f t="shared" si="19"/>
        <v>-6</v>
      </c>
      <c r="F279" s="91">
        <v>24</v>
      </c>
      <c r="G279" s="20">
        <v>45001</v>
      </c>
      <c r="H279" s="100">
        <f t="shared" si="20"/>
        <v>1.3333333333333333</v>
      </c>
      <c r="I279" s="79">
        <v>1</v>
      </c>
      <c r="J279" s="79">
        <v>3</v>
      </c>
      <c r="K279" s="104">
        <v>2</v>
      </c>
      <c r="L279" s="46">
        <v>2</v>
      </c>
      <c r="M279" s="64"/>
    </row>
    <row r="280" spans="1:13" ht="16.5" customHeight="1" thickBot="1">
      <c r="A280" s="15" t="s">
        <v>184</v>
      </c>
      <c r="B280" s="2" t="s">
        <v>447</v>
      </c>
      <c r="C280" s="91">
        <v>79</v>
      </c>
      <c r="D280" s="74">
        <f t="shared" si="18"/>
        <v>79</v>
      </c>
      <c r="E280" s="19">
        <f t="shared" si="19"/>
        <v>4</v>
      </c>
      <c r="F280" s="91">
        <v>75</v>
      </c>
      <c r="G280" s="20">
        <v>45106</v>
      </c>
      <c r="H280" s="70">
        <f t="shared" si="20"/>
        <v>0.9493670886075949</v>
      </c>
      <c r="I280" s="79">
        <v>1</v>
      </c>
      <c r="J280" s="79">
        <v>4</v>
      </c>
      <c r="K280" s="104">
        <v>4</v>
      </c>
      <c r="L280" s="46">
        <f>7+1</f>
        <v>8</v>
      </c>
      <c r="M280" s="64"/>
    </row>
    <row r="281" spans="1:13" ht="16.5" customHeight="1" thickBot="1">
      <c r="A281" s="15" t="s">
        <v>185</v>
      </c>
      <c r="B281" s="65" t="s">
        <v>580</v>
      </c>
      <c r="C281" s="91">
        <v>49</v>
      </c>
      <c r="D281" s="74">
        <f t="shared" si="18"/>
        <v>49</v>
      </c>
      <c r="E281" s="19">
        <f t="shared" si="19"/>
        <v>-1</v>
      </c>
      <c r="F281" s="91">
        <v>50</v>
      </c>
      <c r="G281" s="20">
        <v>45071</v>
      </c>
      <c r="H281" s="100">
        <f t="shared" si="20"/>
        <v>1.0204081632653061</v>
      </c>
      <c r="I281" s="79">
        <v>2</v>
      </c>
      <c r="J281" s="79">
        <v>6</v>
      </c>
      <c r="K281" s="104"/>
      <c r="L281" s="46">
        <f>5+1</f>
        <v>6</v>
      </c>
      <c r="M281" s="64"/>
    </row>
    <row r="282" spans="1:13" ht="16.5" customHeight="1" thickBot="1">
      <c r="A282" s="15">
        <v>324</v>
      </c>
      <c r="B282" s="2" t="s">
        <v>595</v>
      </c>
      <c r="C282" s="91">
        <v>41</v>
      </c>
      <c r="D282" s="74">
        <f t="shared" si="18"/>
        <v>41</v>
      </c>
      <c r="E282" s="19">
        <f aca="true" t="shared" si="21" ref="E282:E287">SUM(D282-F282)</f>
        <v>4</v>
      </c>
      <c r="F282" s="91">
        <v>37</v>
      </c>
      <c r="G282" s="20">
        <v>44859</v>
      </c>
      <c r="H282" s="70">
        <f t="shared" si="20"/>
        <v>0.9024390243902439</v>
      </c>
      <c r="I282" s="79"/>
      <c r="J282" s="79">
        <v>1</v>
      </c>
      <c r="K282" s="104"/>
      <c r="L282" s="46">
        <v>0</v>
      </c>
      <c r="M282" s="64"/>
    </row>
    <row r="283" spans="1:13" ht="16.5" customHeight="1" thickBot="1">
      <c r="A283" s="15" t="s">
        <v>187</v>
      </c>
      <c r="B283" s="2" t="s">
        <v>449</v>
      </c>
      <c r="C283" s="91">
        <v>33</v>
      </c>
      <c r="D283" s="74">
        <f t="shared" si="18"/>
        <v>33</v>
      </c>
      <c r="E283" s="19">
        <f t="shared" si="21"/>
        <v>1</v>
      </c>
      <c r="F283" s="91">
        <v>32</v>
      </c>
      <c r="G283" s="20">
        <v>44979</v>
      </c>
      <c r="H283" s="70">
        <f t="shared" si="20"/>
        <v>0.9696969696969697</v>
      </c>
      <c r="I283" s="79"/>
      <c r="J283" s="79">
        <v>5</v>
      </c>
      <c r="K283" s="104"/>
      <c r="L283" s="46">
        <v>4</v>
      </c>
      <c r="M283" s="64"/>
    </row>
    <row r="284" spans="1:13" ht="16.5" customHeight="1" thickBot="1">
      <c r="A284" s="15" t="s">
        <v>188</v>
      </c>
      <c r="B284" s="2" t="s">
        <v>450</v>
      </c>
      <c r="C284" s="91">
        <v>45</v>
      </c>
      <c r="D284" s="74">
        <f t="shared" si="18"/>
        <v>45</v>
      </c>
      <c r="E284" s="19">
        <f t="shared" si="21"/>
        <v>7</v>
      </c>
      <c r="F284" s="91">
        <v>38</v>
      </c>
      <c r="G284" s="20">
        <v>45120</v>
      </c>
      <c r="H284" s="70">
        <f t="shared" si="20"/>
        <v>0.8444444444444444</v>
      </c>
      <c r="I284" s="79">
        <v>2</v>
      </c>
      <c r="J284" s="79">
        <v>15</v>
      </c>
      <c r="K284" s="104"/>
      <c r="L284" s="46">
        <f>11+1</f>
        <v>12</v>
      </c>
      <c r="M284" s="64"/>
    </row>
    <row r="285" spans="1:13" ht="16.5" customHeight="1" thickBot="1">
      <c r="A285" s="15" t="s">
        <v>189</v>
      </c>
      <c r="B285" s="2" t="s">
        <v>451</v>
      </c>
      <c r="C285" s="91">
        <v>61</v>
      </c>
      <c r="D285" s="74">
        <f t="shared" si="18"/>
        <v>61</v>
      </c>
      <c r="E285" s="19">
        <f t="shared" si="21"/>
        <v>3</v>
      </c>
      <c r="F285" s="91">
        <v>58</v>
      </c>
      <c r="G285" s="20">
        <v>45071</v>
      </c>
      <c r="H285" s="70">
        <f t="shared" si="20"/>
        <v>0.9508196721311475</v>
      </c>
      <c r="I285" s="79">
        <v>9</v>
      </c>
      <c r="J285" s="79">
        <v>9</v>
      </c>
      <c r="K285" s="104"/>
      <c r="L285" s="46">
        <f>2+1+1+1+1</f>
        <v>6</v>
      </c>
      <c r="M285" s="64"/>
    </row>
    <row r="286" spans="1:13" ht="16.5" customHeight="1" thickBot="1">
      <c r="A286" s="15" t="s">
        <v>190</v>
      </c>
      <c r="B286" s="69" t="s">
        <v>673</v>
      </c>
      <c r="C286" s="91">
        <v>18</v>
      </c>
      <c r="D286" s="74">
        <f t="shared" si="18"/>
        <v>18</v>
      </c>
      <c r="E286" s="19">
        <f t="shared" si="21"/>
        <v>6</v>
      </c>
      <c r="F286" s="91">
        <v>12</v>
      </c>
      <c r="G286" s="20">
        <v>44980</v>
      </c>
      <c r="H286" s="70">
        <f t="shared" si="20"/>
        <v>0.6666666666666666</v>
      </c>
      <c r="I286" s="79"/>
      <c r="J286" s="79">
        <v>4</v>
      </c>
      <c r="K286" s="104"/>
      <c r="L286" s="46">
        <f>2+1+1</f>
        <v>4</v>
      </c>
      <c r="M286" s="64"/>
    </row>
    <row r="287" spans="1:13" ht="16.5" customHeight="1" thickBot="1">
      <c r="A287" s="15" t="s">
        <v>191</v>
      </c>
      <c r="B287" s="2" t="s">
        <v>452</v>
      </c>
      <c r="C287" s="91">
        <v>25</v>
      </c>
      <c r="D287" s="74">
        <f t="shared" si="18"/>
        <v>25</v>
      </c>
      <c r="E287" s="44">
        <f t="shared" si="21"/>
        <v>5</v>
      </c>
      <c r="F287" s="91">
        <v>20</v>
      </c>
      <c r="G287" s="20">
        <v>44937</v>
      </c>
      <c r="H287" s="118">
        <f t="shared" si="20"/>
        <v>0.8</v>
      </c>
      <c r="I287" s="79"/>
      <c r="J287" s="79">
        <v>17</v>
      </c>
      <c r="K287" s="104"/>
      <c r="L287" s="46">
        <v>2</v>
      </c>
      <c r="M287" s="64"/>
    </row>
    <row r="288" spans="1:13" ht="16.5" customHeight="1" thickBot="1">
      <c r="A288" s="15" t="s">
        <v>192</v>
      </c>
      <c r="B288" s="2" t="s">
        <v>453</v>
      </c>
      <c r="C288" s="91">
        <v>17</v>
      </c>
      <c r="D288" s="74">
        <f t="shared" si="18"/>
        <v>17</v>
      </c>
      <c r="E288" s="19">
        <f>SUM(D288-F288)</f>
        <v>0</v>
      </c>
      <c r="F288" s="91">
        <v>17</v>
      </c>
      <c r="G288" s="20">
        <v>44748</v>
      </c>
      <c r="H288" s="100">
        <f t="shared" si="20"/>
        <v>1</v>
      </c>
      <c r="I288" s="79"/>
      <c r="J288" s="79">
        <v>17</v>
      </c>
      <c r="K288" s="104"/>
      <c r="L288" s="46">
        <v>0</v>
      </c>
      <c r="M288" s="64"/>
    </row>
    <row r="289" spans="1:11" ht="16.5" customHeight="1">
      <c r="A289" s="2"/>
      <c r="B289" s="60"/>
      <c r="C289" s="61"/>
      <c r="D289" s="53"/>
      <c r="E289" s="22"/>
      <c r="F289" s="13"/>
      <c r="G289" s="23"/>
      <c r="H289" s="24"/>
      <c r="I289" s="11"/>
      <c r="K289" s="2"/>
    </row>
    <row r="290" spans="2:11" ht="16.5" customHeight="1" thickBot="1">
      <c r="B290" s="14" t="s">
        <v>654</v>
      </c>
      <c r="C290" s="126">
        <v>24</v>
      </c>
      <c r="D290" s="22"/>
      <c r="E290" s="22"/>
      <c r="F290" s="13"/>
      <c r="G290" s="23"/>
      <c r="H290" s="24"/>
      <c r="I290" s="11"/>
      <c r="K290" s="2"/>
    </row>
    <row r="291" spans="2:13" ht="16.5" customHeight="1" thickBot="1">
      <c r="B291" s="15" t="s">
        <v>411</v>
      </c>
      <c r="C291" s="18">
        <f>SUM(C267:C290)</f>
        <v>1202</v>
      </c>
      <c r="D291" s="74">
        <f>SUM(C291*1)</f>
        <v>1202</v>
      </c>
      <c r="E291" s="19">
        <f>SUM(D291-F291)</f>
        <v>121</v>
      </c>
      <c r="F291" s="17">
        <f>SUM(F268:F288)</f>
        <v>1081</v>
      </c>
      <c r="G291" s="20"/>
      <c r="H291" s="70">
        <f>SUM(F291/C291)</f>
        <v>0.8993344425956739</v>
      </c>
      <c r="I291" s="79">
        <f>SUM(I268:I288)</f>
        <v>53</v>
      </c>
      <c r="J291" s="79">
        <f>SUM(J268:J288)</f>
        <v>229</v>
      </c>
      <c r="K291" s="79">
        <f>SUM(K268:K288)</f>
        <v>24</v>
      </c>
      <c r="L291" s="17">
        <f>SUM(L268:L288)</f>
        <v>162</v>
      </c>
      <c r="M291" s="64">
        <f>SUM(M268:M288)</f>
        <v>2</v>
      </c>
    </row>
    <row r="292" spans="1:11" ht="16.5" customHeight="1">
      <c r="A292" s="14"/>
      <c r="C292" s="61"/>
      <c r="D292" s="22"/>
      <c r="E292" s="22"/>
      <c r="F292" s="13"/>
      <c r="G292" s="9"/>
      <c r="H292" s="24"/>
      <c r="I292" s="11"/>
      <c r="K292" s="2"/>
    </row>
    <row r="293" spans="1:11" ht="16.5" customHeight="1">
      <c r="A293" s="84" t="str">
        <f>A23</f>
        <v> TARGET DATE : 05/17/2023    100%</v>
      </c>
      <c r="B293" s="48"/>
      <c r="C293" s="61"/>
      <c r="D293" s="53"/>
      <c r="E293" s="22"/>
      <c r="F293" s="13"/>
      <c r="G293" s="9"/>
      <c r="H293" s="24"/>
      <c r="I293" s="11"/>
      <c r="K293" s="2"/>
    </row>
    <row r="294" spans="1:11" ht="16.5" customHeight="1">
      <c r="A294" s="42"/>
      <c r="B294" s="2" t="s">
        <v>680</v>
      </c>
      <c r="C294" s="88"/>
      <c r="D294" s="22"/>
      <c r="E294" s="22"/>
      <c r="F294" s="13"/>
      <c r="G294" s="9"/>
      <c r="H294" s="24"/>
      <c r="I294" s="11"/>
      <c r="K294" s="2"/>
    </row>
    <row r="295" spans="1:11" ht="16.5" customHeight="1">
      <c r="A295" s="14"/>
      <c r="B295" s="42" t="s">
        <v>679</v>
      </c>
      <c r="C295" s="89"/>
      <c r="D295" s="22"/>
      <c r="E295" s="8"/>
      <c r="F295" s="43"/>
      <c r="G295" s="23"/>
      <c r="H295" s="55"/>
      <c r="I295" s="11"/>
      <c r="K295" s="2"/>
    </row>
    <row r="296" spans="1:11" ht="16.5" customHeight="1">
      <c r="A296" s="14"/>
      <c r="B296" s="84"/>
      <c r="C296" s="62"/>
      <c r="D296" s="22"/>
      <c r="E296" s="22"/>
      <c r="F296" s="13"/>
      <c r="G296" s="9"/>
      <c r="H296" s="24"/>
      <c r="I296" s="11"/>
      <c r="K296" s="2"/>
    </row>
    <row r="297" spans="1:11" ht="16.5" customHeight="1">
      <c r="A297" s="14"/>
      <c r="B297" s="42"/>
      <c r="C297" s="62"/>
      <c r="D297" s="53"/>
      <c r="E297" s="22"/>
      <c r="F297" s="13"/>
      <c r="G297" s="9"/>
      <c r="H297" s="24"/>
      <c r="I297" s="11"/>
      <c r="K297" s="2"/>
    </row>
    <row r="298" spans="1:11" ht="16.5" customHeight="1">
      <c r="A298" s="14"/>
      <c r="B298" s="42"/>
      <c r="C298" s="62"/>
      <c r="D298" s="22"/>
      <c r="E298" s="10"/>
      <c r="G298" s="23"/>
      <c r="I298" s="11"/>
      <c r="K298" s="2"/>
    </row>
    <row r="299" spans="1:11" ht="16.5" customHeight="1">
      <c r="A299" s="14"/>
      <c r="B299" s="42"/>
      <c r="C299" s="62"/>
      <c r="D299" s="22"/>
      <c r="E299" s="22"/>
      <c r="F299" s="13"/>
      <c r="G299" s="9"/>
      <c r="H299" s="24"/>
      <c r="I299" s="11"/>
      <c r="K299" s="2"/>
    </row>
    <row r="300" spans="2:11" ht="16.5" customHeight="1">
      <c r="B300" s="42"/>
      <c r="C300" s="62"/>
      <c r="D300" s="53"/>
      <c r="E300" s="22"/>
      <c r="F300" s="13"/>
      <c r="G300" s="9"/>
      <c r="H300" s="24"/>
      <c r="I300" s="11"/>
      <c r="K300" s="2"/>
    </row>
    <row r="301" spans="1:11" ht="16.5" customHeight="1">
      <c r="A301" s="2" t="s">
        <v>454</v>
      </c>
      <c r="C301" s="22"/>
      <c r="D301" s="53"/>
      <c r="E301" s="22"/>
      <c r="G301" s="29"/>
      <c r="H301" s="77">
        <f>F3</f>
        <v>45134</v>
      </c>
      <c r="I301" s="11"/>
      <c r="K301" s="2"/>
    </row>
    <row r="302" spans="1:11" ht="16.5" customHeight="1">
      <c r="A302" s="14" t="s">
        <v>640</v>
      </c>
      <c r="C302" s="22"/>
      <c r="D302" s="121"/>
      <c r="F302" s="14"/>
      <c r="G302" s="11" t="s">
        <v>552</v>
      </c>
      <c r="H302" s="24"/>
      <c r="I302" s="11"/>
      <c r="K302" s="2"/>
    </row>
    <row r="303" spans="1:13" ht="16.5" customHeight="1">
      <c r="A303" s="14"/>
      <c r="C303" s="22"/>
      <c r="D303" s="22"/>
      <c r="F303" s="14"/>
      <c r="G303" s="11"/>
      <c r="H303" s="24"/>
      <c r="I303" s="11"/>
      <c r="K303" s="3" t="s">
        <v>627</v>
      </c>
      <c r="L303" s="11" t="s">
        <v>577</v>
      </c>
      <c r="M303" s="3" t="s">
        <v>652</v>
      </c>
    </row>
    <row r="304" spans="3:13" ht="16.5" customHeight="1">
      <c r="C304" s="8">
        <f>C7</f>
        <v>2023</v>
      </c>
      <c r="D304" s="4">
        <f>D7</f>
        <v>1</v>
      </c>
      <c r="E304" s="8" t="s">
        <v>547</v>
      </c>
      <c r="F304" s="3" t="s">
        <v>548</v>
      </c>
      <c r="G304" s="5" t="s">
        <v>550</v>
      </c>
      <c r="H304" s="6" t="s">
        <v>559</v>
      </c>
      <c r="I304" s="11"/>
      <c r="K304" s="3" t="s">
        <v>561</v>
      </c>
      <c r="L304" s="11" t="s">
        <v>578</v>
      </c>
      <c r="M304" s="3" t="s">
        <v>561</v>
      </c>
    </row>
    <row r="305" spans="1:13" ht="16.5" customHeight="1" thickBot="1">
      <c r="A305" s="2"/>
      <c r="C305" s="8" t="s">
        <v>558</v>
      </c>
      <c r="D305" s="8" t="s">
        <v>546</v>
      </c>
      <c r="E305" s="4">
        <f>E8</f>
        <v>1</v>
      </c>
      <c r="F305" s="3" t="str">
        <f>F8</f>
        <v>2023 MEMB</v>
      </c>
      <c r="G305" s="5" t="s">
        <v>551</v>
      </c>
      <c r="H305" s="7" t="s">
        <v>558</v>
      </c>
      <c r="I305" s="3" t="str">
        <f>I8</f>
        <v>NEW</v>
      </c>
      <c r="J305" s="3" t="s">
        <v>556</v>
      </c>
      <c r="K305" s="3" t="s">
        <v>628</v>
      </c>
      <c r="L305" s="11" t="s">
        <v>576</v>
      </c>
      <c r="M305" s="3">
        <v>462</v>
      </c>
    </row>
    <row r="306" spans="1:13" ht="16.5" customHeight="1" thickBot="1">
      <c r="A306" s="15" t="s">
        <v>193</v>
      </c>
      <c r="B306" s="2" t="s">
        <v>455</v>
      </c>
      <c r="C306" s="73">
        <v>166</v>
      </c>
      <c r="D306" s="74">
        <f>SUM(C306*1)</f>
        <v>166</v>
      </c>
      <c r="E306" s="19">
        <f aca="true" t="shared" si="22" ref="E306:E331">SUM(D306-F306)</f>
        <v>7</v>
      </c>
      <c r="F306" s="73">
        <v>159</v>
      </c>
      <c r="G306" s="20">
        <v>45093</v>
      </c>
      <c r="H306" s="70">
        <f aca="true" t="shared" si="23" ref="H306:H331">SUM(F306/C306)</f>
        <v>0.9578313253012049</v>
      </c>
      <c r="I306" s="79">
        <v>9</v>
      </c>
      <c r="J306" s="79">
        <v>15</v>
      </c>
      <c r="K306" s="104">
        <v>1</v>
      </c>
      <c r="L306" s="46">
        <f>15+1+1</f>
        <v>17</v>
      </c>
      <c r="M306" s="64"/>
    </row>
    <row r="307" spans="1:13" ht="16.5" customHeight="1" thickBot="1">
      <c r="A307" s="15" t="s">
        <v>194</v>
      </c>
      <c r="B307" s="2" t="s">
        <v>456</v>
      </c>
      <c r="C307" s="73">
        <v>265</v>
      </c>
      <c r="D307" s="74">
        <f aca="true" t="shared" si="24" ref="D307:D338">SUM(C307*1)</f>
        <v>265</v>
      </c>
      <c r="E307" s="19">
        <f t="shared" si="22"/>
        <v>-4</v>
      </c>
      <c r="F307" s="73">
        <v>269</v>
      </c>
      <c r="G307" s="20">
        <v>45063</v>
      </c>
      <c r="H307" s="100">
        <f t="shared" si="23"/>
        <v>1.0150943396226415</v>
      </c>
      <c r="I307" s="79">
        <v>17</v>
      </c>
      <c r="J307" s="79">
        <v>26</v>
      </c>
      <c r="K307" s="104">
        <v>1</v>
      </c>
      <c r="L307" s="46">
        <f>52+1+3+2+1</f>
        <v>59</v>
      </c>
      <c r="M307" s="138"/>
    </row>
    <row r="308" spans="1:13" ht="16.5" customHeight="1" thickBot="1">
      <c r="A308" s="15" t="s">
        <v>195</v>
      </c>
      <c r="B308" s="2" t="s">
        <v>457</v>
      </c>
      <c r="C308" s="73">
        <v>61</v>
      </c>
      <c r="D308" s="74">
        <f t="shared" si="24"/>
        <v>61</v>
      </c>
      <c r="E308" s="19">
        <f t="shared" si="22"/>
        <v>1</v>
      </c>
      <c r="F308" s="73">
        <v>60</v>
      </c>
      <c r="G308" s="20">
        <v>45078</v>
      </c>
      <c r="H308" s="70">
        <f>SUM(F308/C308)</f>
        <v>0.9836065573770492</v>
      </c>
      <c r="I308" s="79">
        <v>7</v>
      </c>
      <c r="J308" s="79">
        <v>12</v>
      </c>
      <c r="K308" s="104"/>
      <c r="L308" s="46">
        <v>11</v>
      </c>
      <c r="M308" s="143"/>
    </row>
    <row r="309" spans="1:13" ht="16.5" customHeight="1" thickBot="1">
      <c r="A309" s="15" t="s">
        <v>196</v>
      </c>
      <c r="B309" s="2" t="s">
        <v>458</v>
      </c>
      <c r="C309" s="73">
        <v>84</v>
      </c>
      <c r="D309" s="74">
        <f t="shared" si="24"/>
        <v>84</v>
      </c>
      <c r="E309" s="19">
        <f t="shared" si="22"/>
        <v>-2</v>
      </c>
      <c r="F309" s="73">
        <v>86</v>
      </c>
      <c r="G309" s="20">
        <v>45093</v>
      </c>
      <c r="H309" s="100">
        <f t="shared" si="23"/>
        <v>1.0238095238095237</v>
      </c>
      <c r="I309" s="79">
        <v>4</v>
      </c>
      <c r="J309" s="79">
        <v>9</v>
      </c>
      <c r="K309" s="104">
        <v>2</v>
      </c>
      <c r="L309" s="46">
        <f>16+2+1+1+1</f>
        <v>21</v>
      </c>
      <c r="M309" s="139"/>
    </row>
    <row r="310" spans="1:13" ht="16.5" customHeight="1" thickBot="1">
      <c r="A310" s="15" t="s">
        <v>197</v>
      </c>
      <c r="B310" s="2" t="s">
        <v>460</v>
      </c>
      <c r="C310" s="73">
        <v>42</v>
      </c>
      <c r="D310" s="74">
        <f t="shared" si="24"/>
        <v>42</v>
      </c>
      <c r="E310" s="19">
        <f t="shared" si="22"/>
        <v>16</v>
      </c>
      <c r="F310" s="73">
        <v>26</v>
      </c>
      <c r="G310" s="20">
        <v>45106</v>
      </c>
      <c r="H310" s="70">
        <f t="shared" si="23"/>
        <v>0.6190476190476191</v>
      </c>
      <c r="I310" s="79"/>
      <c r="J310" s="79">
        <v>1</v>
      </c>
      <c r="K310" s="104"/>
      <c r="L310" s="46">
        <f>2+1</f>
        <v>3</v>
      </c>
      <c r="M310" s="140"/>
    </row>
    <row r="311" spans="1:13" ht="16.5" customHeight="1" thickBot="1">
      <c r="A311" s="15" t="s">
        <v>198</v>
      </c>
      <c r="B311" s="2" t="s">
        <v>461</v>
      </c>
      <c r="C311" s="73">
        <v>45</v>
      </c>
      <c r="D311" s="74">
        <f t="shared" si="24"/>
        <v>45</v>
      </c>
      <c r="E311" s="19">
        <f t="shared" si="22"/>
        <v>8</v>
      </c>
      <c r="F311" s="73">
        <v>37</v>
      </c>
      <c r="G311" s="20">
        <v>45056</v>
      </c>
      <c r="H311" s="70">
        <f t="shared" si="23"/>
        <v>0.8222222222222222</v>
      </c>
      <c r="I311" s="79"/>
      <c r="J311" s="79">
        <v>6</v>
      </c>
      <c r="K311" s="104"/>
      <c r="L311" s="46">
        <f>6+1+1</f>
        <v>8</v>
      </c>
      <c r="M311" s="140"/>
    </row>
    <row r="312" spans="1:13" ht="16.5" customHeight="1" thickBot="1">
      <c r="A312" s="15" t="s">
        <v>199</v>
      </c>
      <c r="B312" s="2" t="s">
        <v>462</v>
      </c>
      <c r="C312" s="73">
        <v>20</v>
      </c>
      <c r="D312" s="74">
        <f t="shared" si="24"/>
        <v>20</v>
      </c>
      <c r="E312" s="19">
        <f t="shared" si="22"/>
        <v>2</v>
      </c>
      <c r="F312" s="73">
        <v>18</v>
      </c>
      <c r="G312" s="20">
        <v>45134</v>
      </c>
      <c r="H312" s="70">
        <f t="shared" si="23"/>
        <v>0.9</v>
      </c>
      <c r="I312" s="79"/>
      <c r="J312" s="79">
        <v>4</v>
      </c>
      <c r="K312" s="104"/>
      <c r="L312" s="46">
        <v>2</v>
      </c>
      <c r="M312" s="137"/>
    </row>
    <row r="313" spans="1:13" ht="16.5" customHeight="1" thickBot="1">
      <c r="A313" s="154" t="s">
        <v>200</v>
      </c>
      <c r="B313" s="2" t="s">
        <v>463</v>
      </c>
      <c r="C313" s="73">
        <v>60</v>
      </c>
      <c r="D313" s="74">
        <f t="shared" si="24"/>
        <v>60</v>
      </c>
      <c r="E313" s="19">
        <f t="shared" si="22"/>
        <v>-3</v>
      </c>
      <c r="F313" s="73">
        <v>63</v>
      </c>
      <c r="G313" s="20">
        <v>45050</v>
      </c>
      <c r="H313" s="151">
        <f t="shared" si="23"/>
        <v>1.05</v>
      </c>
      <c r="I313" s="79">
        <v>4</v>
      </c>
      <c r="J313" s="79">
        <v>9</v>
      </c>
      <c r="K313" s="104">
        <v>2</v>
      </c>
      <c r="L313" s="46">
        <v>4</v>
      </c>
      <c r="M313" s="137">
        <v>1</v>
      </c>
    </row>
    <row r="314" spans="1:13" ht="16.5" customHeight="1" thickBot="1">
      <c r="A314" s="15" t="s">
        <v>201</v>
      </c>
      <c r="B314" s="2" t="s">
        <v>464</v>
      </c>
      <c r="C314" s="73">
        <v>112</v>
      </c>
      <c r="D314" s="74">
        <f t="shared" si="24"/>
        <v>112</v>
      </c>
      <c r="E314" s="19">
        <f t="shared" si="22"/>
        <v>6</v>
      </c>
      <c r="F314" s="73">
        <v>106</v>
      </c>
      <c r="G314" s="20">
        <v>44762</v>
      </c>
      <c r="H314" s="70">
        <f t="shared" si="23"/>
        <v>0.9464285714285714</v>
      </c>
      <c r="I314" s="79"/>
      <c r="J314" s="79">
        <v>5</v>
      </c>
      <c r="K314" s="104"/>
      <c r="L314" s="46">
        <v>2</v>
      </c>
      <c r="M314" s="137"/>
    </row>
    <row r="315" spans="1:13" ht="16.5" customHeight="1" thickBot="1">
      <c r="A315" s="15" t="s">
        <v>202</v>
      </c>
      <c r="B315" s="2" t="s">
        <v>465</v>
      </c>
      <c r="C315" s="73">
        <v>147</v>
      </c>
      <c r="D315" s="74">
        <f t="shared" si="24"/>
        <v>147</v>
      </c>
      <c r="E315" s="19">
        <f t="shared" si="22"/>
        <v>5</v>
      </c>
      <c r="F315" s="73">
        <v>142</v>
      </c>
      <c r="G315" s="20">
        <v>45012</v>
      </c>
      <c r="H315" s="70">
        <f t="shared" si="23"/>
        <v>0.9659863945578231</v>
      </c>
      <c r="I315" s="79">
        <v>7</v>
      </c>
      <c r="J315" s="79">
        <v>3</v>
      </c>
      <c r="K315" s="104"/>
      <c r="L315" s="46">
        <f>17+1+2</f>
        <v>20</v>
      </c>
      <c r="M315" s="137"/>
    </row>
    <row r="316" spans="1:13" ht="16.5" customHeight="1" thickBot="1">
      <c r="A316" s="15" t="s">
        <v>203</v>
      </c>
      <c r="B316" s="2" t="s">
        <v>466</v>
      </c>
      <c r="C316" s="73">
        <v>220</v>
      </c>
      <c r="D316" s="74">
        <f t="shared" si="24"/>
        <v>220</v>
      </c>
      <c r="E316" s="19">
        <f t="shared" si="22"/>
        <v>14</v>
      </c>
      <c r="F316" s="73">
        <v>206</v>
      </c>
      <c r="G316" s="20">
        <v>45120</v>
      </c>
      <c r="H316" s="70">
        <f t="shared" si="23"/>
        <v>0.9363636363636364</v>
      </c>
      <c r="I316" s="79">
        <v>9</v>
      </c>
      <c r="J316" s="79">
        <v>13</v>
      </c>
      <c r="K316" s="104">
        <v>1</v>
      </c>
      <c r="L316" s="46">
        <f>36+2+4+2</f>
        <v>44</v>
      </c>
      <c r="M316" s="140"/>
    </row>
    <row r="317" spans="1:13" ht="16.5" customHeight="1" thickBot="1">
      <c r="A317" s="15" t="s">
        <v>204</v>
      </c>
      <c r="B317" s="2" t="s">
        <v>467</v>
      </c>
      <c r="C317" s="73">
        <v>134</v>
      </c>
      <c r="D317" s="74">
        <f t="shared" si="24"/>
        <v>134</v>
      </c>
      <c r="E317" s="19">
        <f t="shared" si="22"/>
        <v>28</v>
      </c>
      <c r="F317" s="73">
        <v>106</v>
      </c>
      <c r="G317" s="20">
        <v>45120</v>
      </c>
      <c r="H317" s="70">
        <f t="shared" si="23"/>
        <v>0.7910447761194029</v>
      </c>
      <c r="I317" s="79">
        <v>1</v>
      </c>
      <c r="J317" s="79">
        <v>21</v>
      </c>
      <c r="K317" s="104">
        <v>1</v>
      </c>
      <c r="L317" s="46">
        <f>12+1+2+1</f>
        <v>16</v>
      </c>
      <c r="M317" s="140"/>
    </row>
    <row r="318" spans="1:13" ht="16.5" customHeight="1" thickBot="1">
      <c r="A318" s="15" t="s">
        <v>205</v>
      </c>
      <c r="B318" s="2" t="s">
        <v>468</v>
      </c>
      <c r="C318" s="73">
        <v>37</v>
      </c>
      <c r="D318" s="74">
        <f t="shared" si="24"/>
        <v>37</v>
      </c>
      <c r="E318" s="19">
        <f t="shared" si="22"/>
        <v>4</v>
      </c>
      <c r="F318" s="73">
        <v>33</v>
      </c>
      <c r="G318" s="20">
        <v>45078</v>
      </c>
      <c r="H318" s="70">
        <f t="shared" si="23"/>
        <v>0.8918918918918919</v>
      </c>
      <c r="I318" s="79"/>
      <c r="J318" s="79">
        <v>7</v>
      </c>
      <c r="K318" s="104"/>
      <c r="L318" s="46">
        <f>6+1</f>
        <v>7</v>
      </c>
      <c r="M318" s="64"/>
    </row>
    <row r="319" spans="1:13" ht="16.5" customHeight="1" thickBot="1">
      <c r="A319" s="15" t="s">
        <v>206</v>
      </c>
      <c r="B319" s="2" t="s">
        <v>469</v>
      </c>
      <c r="C319" s="73">
        <v>66</v>
      </c>
      <c r="D319" s="74">
        <f t="shared" si="24"/>
        <v>66</v>
      </c>
      <c r="E319" s="19">
        <f t="shared" si="22"/>
        <v>1</v>
      </c>
      <c r="F319" s="73">
        <v>65</v>
      </c>
      <c r="G319" s="20">
        <v>44987</v>
      </c>
      <c r="H319" s="70">
        <f t="shared" si="23"/>
        <v>0.9848484848484849</v>
      </c>
      <c r="I319" s="79">
        <v>3</v>
      </c>
      <c r="J319" s="79">
        <v>6</v>
      </c>
      <c r="K319" s="104"/>
      <c r="L319" s="46">
        <v>6</v>
      </c>
      <c r="M319" s="137"/>
    </row>
    <row r="320" spans="1:13" ht="16.5" customHeight="1" thickBot="1">
      <c r="A320" s="15" t="s">
        <v>207</v>
      </c>
      <c r="B320" s="2" t="s">
        <v>470</v>
      </c>
      <c r="C320" s="73">
        <v>36</v>
      </c>
      <c r="D320" s="74">
        <f t="shared" si="24"/>
        <v>36</v>
      </c>
      <c r="E320" s="19">
        <f t="shared" si="22"/>
        <v>11</v>
      </c>
      <c r="F320" s="73">
        <v>25</v>
      </c>
      <c r="G320" s="20">
        <v>45078</v>
      </c>
      <c r="H320" s="70">
        <f t="shared" si="23"/>
        <v>0.6944444444444444</v>
      </c>
      <c r="I320" s="79"/>
      <c r="J320" s="79">
        <v>2</v>
      </c>
      <c r="K320" s="104"/>
      <c r="L320" s="46">
        <f>3+1</f>
        <v>4</v>
      </c>
      <c r="M320" s="140"/>
    </row>
    <row r="321" spans="1:13" ht="16.5" customHeight="1" thickBot="1">
      <c r="A321" s="15" t="s">
        <v>208</v>
      </c>
      <c r="B321" s="2" t="s">
        <v>471</v>
      </c>
      <c r="C321" s="73">
        <v>63</v>
      </c>
      <c r="D321" s="74">
        <f t="shared" si="24"/>
        <v>63</v>
      </c>
      <c r="E321" s="19">
        <f t="shared" si="22"/>
        <v>11</v>
      </c>
      <c r="F321" s="73">
        <v>52</v>
      </c>
      <c r="G321" s="20">
        <v>45120</v>
      </c>
      <c r="H321" s="70">
        <f t="shared" si="23"/>
        <v>0.8253968253968254</v>
      </c>
      <c r="I321" s="79"/>
      <c r="J321" s="79">
        <v>11</v>
      </c>
      <c r="K321" s="104">
        <v>1</v>
      </c>
      <c r="L321" s="46">
        <f>9+2+1</f>
        <v>12</v>
      </c>
      <c r="M321" s="140"/>
    </row>
    <row r="322" spans="1:13" ht="16.5" customHeight="1" thickBot="1">
      <c r="A322" s="15" t="s">
        <v>209</v>
      </c>
      <c r="B322" s="2" t="s">
        <v>472</v>
      </c>
      <c r="C322" s="73">
        <v>51</v>
      </c>
      <c r="D322" s="74">
        <f t="shared" si="24"/>
        <v>51</v>
      </c>
      <c r="E322" s="19">
        <f t="shared" si="22"/>
        <v>13</v>
      </c>
      <c r="F322" s="73">
        <v>38</v>
      </c>
      <c r="G322" s="20">
        <v>45042</v>
      </c>
      <c r="H322" s="70">
        <f t="shared" si="23"/>
        <v>0.7450980392156863</v>
      </c>
      <c r="I322" s="79"/>
      <c r="J322" s="79">
        <v>7</v>
      </c>
      <c r="K322" s="104">
        <v>1</v>
      </c>
      <c r="L322" s="46">
        <f>4+1+1</f>
        <v>6</v>
      </c>
      <c r="M322" s="137"/>
    </row>
    <row r="323" spans="1:13" ht="16.5" customHeight="1" thickBot="1">
      <c r="A323" s="15" t="s">
        <v>210</v>
      </c>
      <c r="B323" s="2" t="s">
        <v>473</v>
      </c>
      <c r="C323" s="73">
        <v>24</v>
      </c>
      <c r="D323" s="74">
        <f t="shared" si="24"/>
        <v>24</v>
      </c>
      <c r="E323" s="19">
        <f t="shared" si="22"/>
        <v>5</v>
      </c>
      <c r="F323" s="73">
        <v>19</v>
      </c>
      <c r="G323" s="20">
        <v>45071</v>
      </c>
      <c r="H323" s="70">
        <f t="shared" si="23"/>
        <v>0.7916666666666666</v>
      </c>
      <c r="I323" s="79"/>
      <c r="J323" s="79">
        <v>3</v>
      </c>
      <c r="K323" s="104"/>
      <c r="L323" s="46">
        <f>2+1</f>
        <v>3</v>
      </c>
      <c r="M323" s="140"/>
    </row>
    <row r="324" spans="1:13" ht="16.5" customHeight="1" thickBot="1">
      <c r="A324" s="15" t="s">
        <v>211</v>
      </c>
      <c r="B324" s="2" t="s">
        <v>474</v>
      </c>
      <c r="C324" s="73">
        <v>158</v>
      </c>
      <c r="D324" s="74">
        <f t="shared" si="24"/>
        <v>158</v>
      </c>
      <c r="E324" s="19">
        <f t="shared" si="22"/>
        <v>14</v>
      </c>
      <c r="F324" s="73">
        <v>144</v>
      </c>
      <c r="G324" s="20">
        <v>45071</v>
      </c>
      <c r="H324" s="70">
        <f t="shared" si="23"/>
        <v>0.9113924050632911</v>
      </c>
      <c r="I324" s="79">
        <v>2</v>
      </c>
      <c r="J324" s="79">
        <v>35</v>
      </c>
      <c r="K324" s="104">
        <v>1</v>
      </c>
      <c r="L324" s="46">
        <f>13+1</f>
        <v>14</v>
      </c>
      <c r="M324" s="137"/>
    </row>
    <row r="325" spans="1:13" ht="16.5" customHeight="1" thickBot="1">
      <c r="A325" s="15" t="s">
        <v>212</v>
      </c>
      <c r="B325" s="2" t="s">
        <v>475</v>
      </c>
      <c r="C325" s="73">
        <v>135</v>
      </c>
      <c r="D325" s="74">
        <f t="shared" si="24"/>
        <v>135</v>
      </c>
      <c r="E325" s="19">
        <f t="shared" si="22"/>
        <v>21</v>
      </c>
      <c r="F325" s="73">
        <v>114</v>
      </c>
      <c r="G325" s="20">
        <v>45050</v>
      </c>
      <c r="H325" s="70">
        <f t="shared" si="23"/>
        <v>0.8444444444444444</v>
      </c>
      <c r="I325" s="79"/>
      <c r="J325" s="79">
        <v>24</v>
      </c>
      <c r="K325" s="104"/>
      <c r="L325" s="46">
        <f>14+1+1</f>
        <v>16</v>
      </c>
      <c r="M325" s="137">
        <v>1</v>
      </c>
    </row>
    <row r="326" spans="1:13" ht="16.5" customHeight="1" thickBot="1">
      <c r="A326" s="15" t="s">
        <v>213</v>
      </c>
      <c r="B326" s="2" t="s">
        <v>476</v>
      </c>
      <c r="C326" s="73">
        <v>33</v>
      </c>
      <c r="D326" s="74">
        <f t="shared" si="24"/>
        <v>33</v>
      </c>
      <c r="E326" s="19">
        <f t="shared" si="22"/>
        <v>3</v>
      </c>
      <c r="F326" s="73">
        <v>30</v>
      </c>
      <c r="G326" s="20">
        <v>45042</v>
      </c>
      <c r="H326" s="70">
        <f t="shared" si="23"/>
        <v>0.9090909090909091</v>
      </c>
      <c r="I326" s="79">
        <v>5</v>
      </c>
      <c r="J326" s="79">
        <v>2</v>
      </c>
      <c r="K326" s="104"/>
      <c r="L326" s="46">
        <f>14+1</f>
        <v>15</v>
      </c>
      <c r="M326" s="140"/>
    </row>
    <row r="327" spans="1:13" ht="16.5" customHeight="1" thickBot="1">
      <c r="A327" s="154" t="s">
        <v>214</v>
      </c>
      <c r="B327" s="2" t="s">
        <v>477</v>
      </c>
      <c r="C327" s="73">
        <v>64</v>
      </c>
      <c r="D327" s="74">
        <f t="shared" si="24"/>
        <v>64</v>
      </c>
      <c r="E327" s="19">
        <f t="shared" si="22"/>
        <v>-7</v>
      </c>
      <c r="F327" s="73">
        <v>71</v>
      </c>
      <c r="G327" s="20">
        <v>45120</v>
      </c>
      <c r="H327" s="151">
        <f t="shared" si="23"/>
        <v>1.109375</v>
      </c>
      <c r="I327" s="79">
        <v>3</v>
      </c>
      <c r="J327" s="79">
        <v>7</v>
      </c>
      <c r="K327" s="104">
        <v>1</v>
      </c>
      <c r="L327" s="46">
        <f>28+1</f>
        <v>29</v>
      </c>
      <c r="M327" s="64"/>
    </row>
    <row r="328" spans="1:13" ht="16.5" customHeight="1" thickBot="1">
      <c r="A328" s="15" t="s">
        <v>215</v>
      </c>
      <c r="B328" s="2" t="s">
        <v>478</v>
      </c>
      <c r="C328" s="73">
        <v>37</v>
      </c>
      <c r="D328" s="74">
        <f t="shared" si="24"/>
        <v>37</v>
      </c>
      <c r="E328" s="19">
        <f t="shared" si="22"/>
        <v>4</v>
      </c>
      <c r="F328" s="73">
        <v>33</v>
      </c>
      <c r="G328" s="20">
        <v>44958</v>
      </c>
      <c r="H328" s="70">
        <f t="shared" si="23"/>
        <v>0.8918918918918919</v>
      </c>
      <c r="I328" s="79"/>
      <c r="J328" s="79">
        <v>6</v>
      </c>
      <c r="K328" s="104"/>
      <c r="L328" s="46">
        <v>6</v>
      </c>
      <c r="M328" s="140"/>
    </row>
    <row r="329" spans="1:13" ht="16.5" customHeight="1" thickBot="1">
      <c r="A329" s="15" t="s">
        <v>216</v>
      </c>
      <c r="B329" s="2" t="s">
        <v>479</v>
      </c>
      <c r="C329" s="73">
        <v>187</v>
      </c>
      <c r="D329" s="74">
        <f t="shared" si="24"/>
        <v>187</v>
      </c>
      <c r="E329" s="19">
        <f t="shared" si="22"/>
        <v>-2</v>
      </c>
      <c r="F329" s="73">
        <v>189</v>
      </c>
      <c r="G329" s="20">
        <v>45078</v>
      </c>
      <c r="H329" s="100">
        <f t="shared" si="23"/>
        <v>1.0106951871657754</v>
      </c>
      <c r="I329" s="79">
        <v>9</v>
      </c>
      <c r="J329" s="79">
        <v>16</v>
      </c>
      <c r="K329" s="104">
        <v>1</v>
      </c>
      <c r="L329" s="46">
        <v>30</v>
      </c>
      <c r="M329" s="64"/>
    </row>
    <row r="330" spans="1:13" ht="16.5" customHeight="1" thickBot="1">
      <c r="A330" s="15" t="s">
        <v>217</v>
      </c>
      <c r="B330" s="2" t="s">
        <v>480</v>
      </c>
      <c r="C330" s="73">
        <v>16</v>
      </c>
      <c r="D330" s="74">
        <f t="shared" si="24"/>
        <v>16</v>
      </c>
      <c r="E330" s="19">
        <f t="shared" si="22"/>
        <v>2</v>
      </c>
      <c r="F330" s="73">
        <v>14</v>
      </c>
      <c r="G330" s="20">
        <v>44985</v>
      </c>
      <c r="H330" s="70">
        <f t="shared" si="23"/>
        <v>0.875</v>
      </c>
      <c r="I330" s="79"/>
      <c r="J330" s="79">
        <v>0</v>
      </c>
      <c r="K330" s="104"/>
      <c r="L330" s="46">
        <f>1+1</f>
        <v>2</v>
      </c>
      <c r="M330" s="137"/>
    </row>
    <row r="331" spans="1:13" ht="16.5" customHeight="1" thickBot="1">
      <c r="A331" s="15" t="s">
        <v>218</v>
      </c>
      <c r="B331" s="2" t="s">
        <v>481</v>
      </c>
      <c r="C331" s="80">
        <v>15</v>
      </c>
      <c r="D331" s="74">
        <f t="shared" si="24"/>
        <v>15</v>
      </c>
      <c r="E331" s="19">
        <f t="shared" si="22"/>
        <v>7</v>
      </c>
      <c r="F331" s="73">
        <v>8</v>
      </c>
      <c r="G331" s="20">
        <v>45078</v>
      </c>
      <c r="H331" s="70">
        <f t="shared" si="23"/>
        <v>0.5333333333333333</v>
      </c>
      <c r="I331" s="79"/>
      <c r="J331" s="79">
        <v>2</v>
      </c>
      <c r="K331" s="104"/>
      <c r="L331" s="46">
        <f>2+1</f>
        <v>3</v>
      </c>
      <c r="M331" s="64"/>
    </row>
    <row r="332" spans="1:13" ht="16.5" customHeight="1" thickBot="1">
      <c r="A332" s="15" t="s">
        <v>219</v>
      </c>
      <c r="B332" s="2" t="s">
        <v>482</v>
      </c>
      <c r="C332" s="73">
        <v>49</v>
      </c>
      <c r="D332" s="74">
        <f t="shared" si="24"/>
        <v>49</v>
      </c>
      <c r="E332" s="19">
        <f aca="true" t="shared" si="25" ref="E332:E338">SUM(D332-F332)</f>
        <v>12</v>
      </c>
      <c r="F332" s="73">
        <v>37</v>
      </c>
      <c r="G332" s="20">
        <v>45106</v>
      </c>
      <c r="H332" s="70">
        <f aca="true" t="shared" si="26" ref="H332:H338">SUM(F332/C332)</f>
        <v>0.7551020408163265</v>
      </c>
      <c r="I332" s="79"/>
      <c r="J332" s="79">
        <v>1</v>
      </c>
      <c r="K332" s="104"/>
      <c r="L332" s="46">
        <f>5+1</f>
        <v>6</v>
      </c>
      <c r="M332" s="137"/>
    </row>
    <row r="333" spans="1:13" ht="16.5" customHeight="1" thickBot="1">
      <c r="A333" s="15" t="s">
        <v>220</v>
      </c>
      <c r="B333" s="2" t="s">
        <v>483</v>
      </c>
      <c r="C333" s="73">
        <v>56</v>
      </c>
      <c r="D333" s="74">
        <f t="shared" si="24"/>
        <v>56</v>
      </c>
      <c r="E333" s="19">
        <f t="shared" si="25"/>
        <v>7</v>
      </c>
      <c r="F333" s="73">
        <v>49</v>
      </c>
      <c r="G333" s="20">
        <v>45071</v>
      </c>
      <c r="H333" s="70">
        <f t="shared" si="26"/>
        <v>0.875</v>
      </c>
      <c r="I333" s="79">
        <v>1</v>
      </c>
      <c r="J333" s="79">
        <v>3</v>
      </c>
      <c r="K333" s="104"/>
      <c r="L333" s="46">
        <f>4+1</f>
        <v>5</v>
      </c>
      <c r="M333" s="64"/>
    </row>
    <row r="334" spans="1:13" ht="16.5" customHeight="1" thickBot="1">
      <c r="A334" s="15" t="s">
        <v>221</v>
      </c>
      <c r="B334" s="2" t="s">
        <v>484</v>
      </c>
      <c r="C334" s="73">
        <v>19</v>
      </c>
      <c r="D334" s="74">
        <f t="shared" si="24"/>
        <v>19</v>
      </c>
      <c r="E334" s="19">
        <f t="shared" si="25"/>
        <v>0</v>
      </c>
      <c r="F334" s="73">
        <v>19</v>
      </c>
      <c r="G334" s="20">
        <v>44914</v>
      </c>
      <c r="H334" s="100">
        <f t="shared" si="26"/>
        <v>1</v>
      </c>
      <c r="I334" s="79">
        <v>1</v>
      </c>
      <c r="J334" s="79">
        <v>5</v>
      </c>
      <c r="K334" s="104"/>
      <c r="L334" s="46">
        <f>1+1</f>
        <v>2</v>
      </c>
      <c r="M334" s="64"/>
    </row>
    <row r="335" spans="1:13" ht="16.5" customHeight="1" thickBot="1">
      <c r="A335" s="15" t="s">
        <v>222</v>
      </c>
      <c r="B335" s="30" t="s">
        <v>555</v>
      </c>
      <c r="C335" s="73">
        <v>25</v>
      </c>
      <c r="D335" s="74">
        <f t="shared" si="24"/>
        <v>25</v>
      </c>
      <c r="E335" s="19">
        <f t="shared" si="25"/>
        <v>6</v>
      </c>
      <c r="F335" s="73">
        <v>19</v>
      </c>
      <c r="G335" s="20">
        <v>45071</v>
      </c>
      <c r="H335" s="70">
        <f t="shared" si="26"/>
        <v>0.76</v>
      </c>
      <c r="I335" s="79"/>
      <c r="J335" s="79">
        <v>2</v>
      </c>
      <c r="K335" s="104"/>
      <c r="L335" s="46">
        <f>5+1</f>
        <v>6</v>
      </c>
      <c r="M335" s="64"/>
    </row>
    <row r="336" spans="1:13" ht="16.5" customHeight="1" thickBot="1">
      <c r="A336" s="15" t="s">
        <v>223</v>
      </c>
      <c r="B336" s="2" t="s">
        <v>459</v>
      </c>
      <c r="C336" s="73">
        <v>207</v>
      </c>
      <c r="D336" s="74">
        <f t="shared" si="24"/>
        <v>207</v>
      </c>
      <c r="E336" s="19">
        <f t="shared" si="25"/>
        <v>26</v>
      </c>
      <c r="F336" s="73">
        <v>181</v>
      </c>
      <c r="G336" s="20">
        <v>45106</v>
      </c>
      <c r="H336" s="70">
        <f t="shared" si="26"/>
        <v>0.8743961352657005</v>
      </c>
      <c r="I336" s="79">
        <v>8</v>
      </c>
      <c r="J336" s="79">
        <v>19</v>
      </c>
      <c r="K336" s="104">
        <v>1</v>
      </c>
      <c r="L336" s="46">
        <f>19+2+3+1+1+2</f>
        <v>28</v>
      </c>
      <c r="M336" s="64"/>
    </row>
    <row r="337" spans="1:13" ht="16.5" customHeight="1" thickBot="1">
      <c r="A337" s="15" t="s">
        <v>224</v>
      </c>
      <c r="B337" s="2" t="s">
        <v>485</v>
      </c>
      <c r="C337" s="73">
        <v>34</v>
      </c>
      <c r="D337" s="74">
        <f t="shared" si="24"/>
        <v>34</v>
      </c>
      <c r="E337" s="19">
        <f t="shared" si="25"/>
        <v>2</v>
      </c>
      <c r="F337" s="73">
        <v>32</v>
      </c>
      <c r="G337" s="20">
        <v>44994</v>
      </c>
      <c r="H337" s="70">
        <f t="shared" si="26"/>
        <v>0.9411764705882353</v>
      </c>
      <c r="I337" s="79"/>
      <c r="J337" s="79">
        <v>3</v>
      </c>
      <c r="K337" s="104">
        <v>1</v>
      </c>
      <c r="L337" s="46">
        <v>4</v>
      </c>
      <c r="M337" s="64"/>
    </row>
    <row r="338" spans="1:13" ht="16.5" customHeight="1" thickBot="1">
      <c r="A338" s="154" t="s">
        <v>225</v>
      </c>
      <c r="B338" s="2" t="s">
        <v>486</v>
      </c>
      <c r="C338" s="73">
        <v>29</v>
      </c>
      <c r="D338" s="74">
        <f t="shared" si="24"/>
        <v>29</v>
      </c>
      <c r="E338" s="50">
        <f t="shared" si="25"/>
        <v>-2</v>
      </c>
      <c r="F338" s="73">
        <v>31</v>
      </c>
      <c r="G338" s="20">
        <v>44958</v>
      </c>
      <c r="H338" s="152">
        <f t="shared" si="26"/>
        <v>1.0689655172413792</v>
      </c>
      <c r="I338" s="114">
        <v>1</v>
      </c>
      <c r="J338" s="114">
        <v>7</v>
      </c>
      <c r="K338" s="115"/>
      <c r="L338" s="51">
        <v>6</v>
      </c>
      <c r="M338" s="64"/>
    </row>
    <row r="339" spans="1:11" ht="16.5" customHeight="1">
      <c r="A339" s="2"/>
      <c r="C339" s="22"/>
      <c r="D339" s="42"/>
      <c r="E339" s="10"/>
      <c r="G339" s="23"/>
      <c r="H339" s="24"/>
      <c r="I339" s="11"/>
      <c r="K339" s="2"/>
    </row>
    <row r="340" spans="2:11" ht="16.5" customHeight="1" thickBot="1">
      <c r="B340" s="14" t="s">
        <v>655</v>
      </c>
      <c r="C340" s="126">
        <v>54</v>
      </c>
      <c r="D340" s="42"/>
      <c r="E340" s="10"/>
      <c r="G340" s="23"/>
      <c r="H340" s="24"/>
      <c r="I340" s="11"/>
      <c r="K340" s="2"/>
    </row>
    <row r="341" spans="2:13" ht="16.5" customHeight="1" thickBot="1">
      <c r="B341" s="15" t="s">
        <v>487</v>
      </c>
      <c r="C341" s="18">
        <f>SUM(C306:C340)</f>
        <v>2751</v>
      </c>
      <c r="D341" s="74">
        <f>SUM(C341*1)</f>
        <v>2751</v>
      </c>
      <c r="E341" s="19">
        <f>SUM(D341-F341)</f>
        <v>270</v>
      </c>
      <c r="F341" s="19">
        <f>SUM(F306:F338)</f>
        <v>2481</v>
      </c>
      <c r="G341" s="20"/>
      <c r="H341" s="21">
        <f>SUM(F341/C341)</f>
        <v>0.9018538713195202</v>
      </c>
      <c r="I341" s="79">
        <f>+SUM(I306:I338)</f>
        <v>91</v>
      </c>
      <c r="J341" s="79">
        <f>+SUM(J306:J338)</f>
        <v>292</v>
      </c>
      <c r="K341" s="79">
        <f>+SUM(K306:K338)</f>
        <v>15</v>
      </c>
      <c r="L341" s="17">
        <f>+SUM(L306:L338)</f>
        <v>417</v>
      </c>
      <c r="M341" s="64">
        <f>+SUM(M306:M338)</f>
        <v>2</v>
      </c>
    </row>
    <row r="342" spans="1:11" ht="16.5" customHeight="1">
      <c r="A342" s="84" t="str">
        <f>A23</f>
        <v> TARGET DATE : 05/17/2023    100%</v>
      </c>
      <c r="B342" s="48"/>
      <c r="C342" s="22"/>
      <c r="D342" s="42"/>
      <c r="E342" s="10"/>
      <c r="G342" s="23"/>
      <c r="H342" s="24"/>
      <c r="I342" s="11"/>
      <c r="K342" s="2"/>
    </row>
    <row r="343" spans="3:11" ht="16.5" customHeight="1">
      <c r="C343" s="22"/>
      <c r="D343" s="42"/>
      <c r="E343" s="10"/>
      <c r="F343" s="3"/>
      <c r="G343" s="23"/>
      <c r="I343" s="11"/>
      <c r="K343" s="2"/>
    </row>
    <row r="344" spans="1:11" ht="16.5" customHeight="1">
      <c r="A344" s="2"/>
      <c r="B344" s="33" t="s">
        <v>629</v>
      </c>
      <c r="C344" s="22" t="s">
        <v>634</v>
      </c>
      <c r="D344" s="122"/>
      <c r="E344" s="27"/>
      <c r="G344" s="23"/>
      <c r="H344" s="16"/>
      <c r="I344" s="11"/>
      <c r="K344" s="2"/>
    </row>
    <row r="345" spans="1:11" ht="16.5" customHeight="1">
      <c r="A345" s="2"/>
      <c r="B345" s="33" t="s">
        <v>681</v>
      </c>
      <c r="C345" s="22"/>
      <c r="D345" s="22"/>
      <c r="E345" s="27"/>
      <c r="G345" s="23"/>
      <c r="H345" s="16"/>
      <c r="I345" s="11"/>
      <c r="K345" s="2"/>
    </row>
    <row r="346" spans="1:11" ht="16.5" customHeight="1">
      <c r="A346" s="14"/>
      <c r="B346" s="33" t="s">
        <v>682</v>
      </c>
      <c r="C346" s="22"/>
      <c r="D346" s="42"/>
      <c r="E346" s="10"/>
      <c r="G346" s="23"/>
      <c r="I346" s="11"/>
      <c r="K346" s="2"/>
    </row>
    <row r="347" spans="1:11" ht="16.5" customHeight="1">
      <c r="A347" s="14"/>
      <c r="C347" s="22"/>
      <c r="D347" s="42"/>
      <c r="E347" s="10"/>
      <c r="G347" s="23"/>
      <c r="I347" s="11"/>
      <c r="K347" s="2"/>
    </row>
    <row r="348" spans="1:11" ht="16.5" customHeight="1">
      <c r="A348" s="2" t="s">
        <v>488</v>
      </c>
      <c r="C348" s="22"/>
      <c r="D348" s="8"/>
      <c r="E348" s="27"/>
      <c r="G348" s="23"/>
      <c r="H348" s="77">
        <f>F3</f>
        <v>45134</v>
      </c>
      <c r="I348" s="11"/>
      <c r="K348" s="2"/>
    </row>
    <row r="349" spans="1:11" ht="16.5" customHeight="1">
      <c r="A349" s="14" t="s">
        <v>641</v>
      </c>
      <c r="C349" s="22"/>
      <c r="D349" s="121"/>
      <c r="E349" s="27"/>
      <c r="G349" s="23" t="s">
        <v>552</v>
      </c>
      <c r="H349" s="24"/>
      <c r="I349" s="11"/>
      <c r="K349" s="2"/>
    </row>
    <row r="350" spans="3:13" ht="16.5" customHeight="1">
      <c r="C350" s="22"/>
      <c r="D350" s="22"/>
      <c r="E350" s="27"/>
      <c r="G350" s="23" t="s">
        <v>552</v>
      </c>
      <c r="H350" s="24"/>
      <c r="I350" s="11"/>
      <c r="K350" s="3" t="s">
        <v>627</v>
      </c>
      <c r="L350" s="11" t="s">
        <v>574</v>
      </c>
      <c r="M350" s="3" t="s">
        <v>652</v>
      </c>
    </row>
    <row r="351" spans="2:13" ht="16.5" customHeight="1">
      <c r="B351" s="10"/>
      <c r="C351" s="8">
        <f>C7</f>
        <v>2023</v>
      </c>
      <c r="D351" s="4">
        <f>D7</f>
        <v>1</v>
      </c>
      <c r="E351" s="8" t="s">
        <v>547</v>
      </c>
      <c r="F351" s="3" t="s">
        <v>548</v>
      </c>
      <c r="G351" s="5" t="s">
        <v>550</v>
      </c>
      <c r="H351" s="6" t="s">
        <v>559</v>
      </c>
      <c r="I351" s="11"/>
      <c r="K351" s="3" t="s">
        <v>561</v>
      </c>
      <c r="L351" s="11" t="s">
        <v>578</v>
      </c>
      <c r="M351" s="3" t="s">
        <v>561</v>
      </c>
    </row>
    <row r="352" spans="1:13" ht="16.5" customHeight="1" thickBot="1">
      <c r="A352" s="2"/>
      <c r="B352" s="14"/>
      <c r="C352" s="8" t="s">
        <v>558</v>
      </c>
      <c r="D352" s="8" t="s">
        <v>546</v>
      </c>
      <c r="E352" s="4">
        <f>E8</f>
        <v>1</v>
      </c>
      <c r="F352" s="3" t="str">
        <f>F8</f>
        <v>2023 MEMB</v>
      </c>
      <c r="G352" s="5" t="s">
        <v>551</v>
      </c>
      <c r="H352" s="7" t="s">
        <v>558</v>
      </c>
      <c r="I352" s="3" t="str">
        <f>I8</f>
        <v>NEW</v>
      </c>
      <c r="J352" s="3" t="s">
        <v>556</v>
      </c>
      <c r="K352" s="3" t="s">
        <v>628</v>
      </c>
      <c r="L352" s="11" t="s">
        <v>579</v>
      </c>
      <c r="M352" s="3">
        <v>462</v>
      </c>
    </row>
    <row r="353" spans="1:13" ht="16.5" customHeight="1" thickBot="1">
      <c r="A353" s="15" t="s">
        <v>226</v>
      </c>
      <c r="B353" s="2" t="s">
        <v>489</v>
      </c>
      <c r="C353" s="73">
        <v>164</v>
      </c>
      <c r="D353" s="74">
        <f>SUM(C353*1)</f>
        <v>164</v>
      </c>
      <c r="E353" s="19">
        <f aca="true" t="shared" si="27" ref="E353:E361">SUM(D353-F353)</f>
        <v>25</v>
      </c>
      <c r="F353" s="73">
        <v>139</v>
      </c>
      <c r="G353" s="20">
        <v>45093</v>
      </c>
      <c r="H353" s="70">
        <f aca="true" t="shared" si="28" ref="H353:H372">SUM(F353/C353)</f>
        <v>0.8475609756097561</v>
      </c>
      <c r="I353" s="79">
        <v>1</v>
      </c>
      <c r="J353" s="79">
        <v>16</v>
      </c>
      <c r="K353" s="104">
        <v>5</v>
      </c>
      <c r="L353" s="46">
        <f>15+1+1</f>
        <v>17</v>
      </c>
      <c r="M353" s="64"/>
    </row>
    <row r="354" spans="1:13" ht="16.5" customHeight="1" thickBot="1">
      <c r="A354" s="15" t="s">
        <v>227</v>
      </c>
      <c r="B354" s="2" t="s">
        <v>490</v>
      </c>
      <c r="C354" s="73">
        <v>191</v>
      </c>
      <c r="D354" s="74">
        <f aca="true" t="shared" si="29" ref="D354:D373">SUM(C354*1)</f>
        <v>191</v>
      </c>
      <c r="E354" s="19">
        <f t="shared" si="27"/>
        <v>23</v>
      </c>
      <c r="F354" s="73">
        <v>168</v>
      </c>
      <c r="G354" s="20">
        <v>45134</v>
      </c>
      <c r="H354" s="70">
        <f t="shared" si="28"/>
        <v>0.8795811518324608</v>
      </c>
      <c r="I354" s="79">
        <v>2</v>
      </c>
      <c r="J354" s="79">
        <v>16</v>
      </c>
      <c r="K354" s="104">
        <v>2</v>
      </c>
      <c r="L354" s="46">
        <f>13+3+1+1+1</f>
        <v>19</v>
      </c>
      <c r="M354" s="64"/>
    </row>
    <row r="355" spans="1:13" ht="16.5" customHeight="1" thickBot="1">
      <c r="A355" s="15" t="s">
        <v>228</v>
      </c>
      <c r="B355" s="2" t="s">
        <v>491</v>
      </c>
      <c r="C355" s="73">
        <v>113</v>
      </c>
      <c r="D355" s="74">
        <f t="shared" si="29"/>
        <v>113</v>
      </c>
      <c r="E355" s="19">
        <f t="shared" si="27"/>
        <v>17</v>
      </c>
      <c r="F355" s="73">
        <v>96</v>
      </c>
      <c r="G355" s="20">
        <v>45120</v>
      </c>
      <c r="H355" s="119">
        <f t="shared" si="28"/>
        <v>0.8495575221238938</v>
      </c>
      <c r="I355" s="79">
        <v>1</v>
      </c>
      <c r="J355" s="79">
        <v>20</v>
      </c>
      <c r="K355" s="104"/>
      <c r="L355" s="46">
        <f>13+1</f>
        <v>14</v>
      </c>
      <c r="M355" s="137"/>
    </row>
    <row r="356" spans="1:13" ht="16.5" customHeight="1" thickBot="1">
      <c r="A356" s="15" t="s">
        <v>229</v>
      </c>
      <c r="B356" s="2" t="s">
        <v>492</v>
      </c>
      <c r="C356" s="73">
        <v>93</v>
      </c>
      <c r="D356" s="74">
        <f t="shared" si="29"/>
        <v>93</v>
      </c>
      <c r="E356" s="19">
        <f t="shared" si="27"/>
        <v>25</v>
      </c>
      <c r="F356" s="73">
        <v>68</v>
      </c>
      <c r="G356" s="20">
        <v>45078</v>
      </c>
      <c r="H356" s="70">
        <f t="shared" si="28"/>
        <v>0.7311827956989247</v>
      </c>
      <c r="I356" s="79">
        <v>1</v>
      </c>
      <c r="J356" s="79">
        <v>13</v>
      </c>
      <c r="K356" s="104">
        <v>3</v>
      </c>
      <c r="L356" s="46">
        <f>12+1</f>
        <v>13</v>
      </c>
      <c r="M356" s="137"/>
    </row>
    <row r="357" spans="1:13" ht="16.5" customHeight="1" thickBot="1">
      <c r="A357" s="154" t="s">
        <v>230</v>
      </c>
      <c r="B357" s="2" t="s">
        <v>493</v>
      </c>
      <c r="C357" s="73">
        <v>222</v>
      </c>
      <c r="D357" s="74">
        <f t="shared" si="29"/>
        <v>222</v>
      </c>
      <c r="E357" s="19">
        <f t="shared" si="27"/>
        <v>-35</v>
      </c>
      <c r="F357" s="73">
        <v>257</v>
      </c>
      <c r="G357" s="20">
        <v>45134</v>
      </c>
      <c r="H357" s="100">
        <f t="shared" si="28"/>
        <v>1.1576576576576576</v>
      </c>
      <c r="I357" s="79">
        <v>45</v>
      </c>
      <c r="J357" s="79">
        <v>16</v>
      </c>
      <c r="K357" s="104">
        <v>1</v>
      </c>
      <c r="L357" s="46">
        <f>27+2</f>
        <v>29</v>
      </c>
      <c r="M357" s="137"/>
    </row>
    <row r="358" spans="1:13" ht="16.5" customHeight="1" thickBot="1">
      <c r="A358" s="15" t="s">
        <v>231</v>
      </c>
      <c r="B358" s="2" t="s">
        <v>495</v>
      </c>
      <c r="C358" s="73">
        <v>110</v>
      </c>
      <c r="D358" s="74">
        <f t="shared" si="29"/>
        <v>110</v>
      </c>
      <c r="E358" s="19">
        <f t="shared" si="27"/>
        <v>24</v>
      </c>
      <c r="F358" s="73">
        <v>86</v>
      </c>
      <c r="G358" s="20">
        <v>45078</v>
      </c>
      <c r="H358" s="70">
        <f t="shared" si="28"/>
        <v>0.7818181818181819</v>
      </c>
      <c r="I358" s="79">
        <v>1</v>
      </c>
      <c r="J358" s="79">
        <v>8</v>
      </c>
      <c r="K358" s="104">
        <v>1</v>
      </c>
      <c r="L358" s="46">
        <f>13+2</f>
        <v>15</v>
      </c>
      <c r="M358" s="137"/>
    </row>
    <row r="359" spans="1:13" ht="16.5" customHeight="1" thickBot="1">
      <c r="A359" s="15" t="s">
        <v>232</v>
      </c>
      <c r="B359" s="2" t="s">
        <v>496</v>
      </c>
      <c r="C359" s="73">
        <v>48</v>
      </c>
      <c r="D359" s="74">
        <f t="shared" si="29"/>
        <v>48</v>
      </c>
      <c r="E359" s="19">
        <f t="shared" si="27"/>
        <v>-1</v>
      </c>
      <c r="F359" s="73">
        <v>49</v>
      </c>
      <c r="G359" s="20">
        <v>45036</v>
      </c>
      <c r="H359" s="100">
        <f t="shared" si="28"/>
        <v>1.0208333333333333</v>
      </c>
      <c r="I359" s="79"/>
      <c r="J359" s="79">
        <v>13</v>
      </c>
      <c r="K359" s="104">
        <v>3</v>
      </c>
      <c r="L359" s="46">
        <v>2</v>
      </c>
      <c r="M359" s="64"/>
    </row>
    <row r="360" spans="1:13" ht="16.5" customHeight="1" thickBot="1">
      <c r="A360" s="15" t="s">
        <v>233</v>
      </c>
      <c r="B360" s="2" t="s">
        <v>497</v>
      </c>
      <c r="C360" s="73">
        <v>130</v>
      </c>
      <c r="D360" s="74">
        <f t="shared" si="29"/>
        <v>130</v>
      </c>
      <c r="E360" s="19">
        <f t="shared" si="27"/>
        <v>31</v>
      </c>
      <c r="F360" s="73">
        <v>99</v>
      </c>
      <c r="G360" s="20">
        <v>45106</v>
      </c>
      <c r="H360" s="70">
        <f t="shared" si="28"/>
        <v>0.7615384615384615</v>
      </c>
      <c r="I360" s="79">
        <v>1</v>
      </c>
      <c r="J360" s="79">
        <v>7</v>
      </c>
      <c r="K360" s="104"/>
      <c r="L360" s="46">
        <f>14+2+1+2</f>
        <v>19</v>
      </c>
      <c r="M360" s="64"/>
    </row>
    <row r="361" spans="1:13" ht="16.5" customHeight="1" thickBot="1">
      <c r="A361" s="15" t="s">
        <v>234</v>
      </c>
      <c r="B361" s="2" t="s">
        <v>498</v>
      </c>
      <c r="C361" s="73">
        <v>402</v>
      </c>
      <c r="D361" s="74">
        <f t="shared" si="29"/>
        <v>402</v>
      </c>
      <c r="E361" s="19">
        <f t="shared" si="27"/>
        <v>33</v>
      </c>
      <c r="F361" s="73">
        <v>369</v>
      </c>
      <c r="G361" s="20">
        <v>45042</v>
      </c>
      <c r="H361" s="70">
        <f t="shared" si="28"/>
        <v>0.917910447761194</v>
      </c>
      <c r="I361" s="79">
        <v>38</v>
      </c>
      <c r="J361" s="79">
        <v>4</v>
      </c>
      <c r="K361" s="104">
        <v>3</v>
      </c>
      <c r="L361" s="46">
        <v>18</v>
      </c>
      <c r="M361" s="64"/>
    </row>
    <row r="362" spans="1:13" ht="16.5" customHeight="1" thickBot="1">
      <c r="A362" s="15" t="s">
        <v>235</v>
      </c>
      <c r="B362" s="2" t="s">
        <v>499</v>
      </c>
      <c r="C362" s="73">
        <v>138</v>
      </c>
      <c r="D362" s="74">
        <f t="shared" si="29"/>
        <v>138</v>
      </c>
      <c r="E362" s="19">
        <f aca="true" t="shared" si="30" ref="E362:E372">SUM(D362-F362)</f>
        <v>-3</v>
      </c>
      <c r="F362" s="73">
        <v>141</v>
      </c>
      <c r="G362" s="20">
        <v>45106</v>
      </c>
      <c r="H362" s="100">
        <f t="shared" si="28"/>
        <v>1.0217391304347827</v>
      </c>
      <c r="I362" s="79">
        <v>2</v>
      </c>
      <c r="J362" s="79">
        <v>21</v>
      </c>
      <c r="K362" s="104">
        <v>4</v>
      </c>
      <c r="L362" s="46">
        <f>15+2+1</f>
        <v>18</v>
      </c>
      <c r="M362" s="64"/>
    </row>
    <row r="363" spans="1:13" ht="16.5" customHeight="1" thickBot="1">
      <c r="A363" s="15" t="s">
        <v>236</v>
      </c>
      <c r="B363" s="2" t="s">
        <v>500</v>
      </c>
      <c r="C363" s="73">
        <v>173</v>
      </c>
      <c r="D363" s="74">
        <f t="shared" si="29"/>
        <v>173</v>
      </c>
      <c r="E363" s="19">
        <f t="shared" si="30"/>
        <v>11</v>
      </c>
      <c r="F363" s="73">
        <v>162</v>
      </c>
      <c r="G363" s="20">
        <v>45134</v>
      </c>
      <c r="H363" s="70">
        <f t="shared" si="28"/>
        <v>0.9364161849710982</v>
      </c>
      <c r="I363" s="79">
        <v>15</v>
      </c>
      <c r="J363" s="153">
        <v>11</v>
      </c>
      <c r="K363" s="104">
        <v>2</v>
      </c>
      <c r="L363" s="46">
        <f>36+2</f>
        <v>38</v>
      </c>
      <c r="M363" s="64"/>
    </row>
    <row r="364" spans="1:13" ht="16.5" customHeight="1" thickBot="1">
      <c r="A364" s="15" t="s">
        <v>237</v>
      </c>
      <c r="B364" s="2" t="s">
        <v>501</v>
      </c>
      <c r="C364" s="73">
        <v>208</v>
      </c>
      <c r="D364" s="74">
        <f t="shared" si="29"/>
        <v>208</v>
      </c>
      <c r="E364" s="19">
        <f t="shared" si="30"/>
        <v>22</v>
      </c>
      <c r="F364" s="73">
        <v>186</v>
      </c>
      <c r="G364" s="20">
        <v>45050</v>
      </c>
      <c r="H364" s="70">
        <f t="shared" si="28"/>
        <v>0.8942307692307693</v>
      </c>
      <c r="I364" s="79">
        <v>6</v>
      </c>
      <c r="J364" s="79">
        <v>31</v>
      </c>
      <c r="K364" s="104">
        <v>1</v>
      </c>
      <c r="L364" s="46">
        <f>26+2+1+1</f>
        <v>30</v>
      </c>
      <c r="M364" s="64"/>
    </row>
    <row r="365" spans="1:13" ht="16.5" customHeight="1" thickBot="1">
      <c r="A365" s="15" t="s">
        <v>238</v>
      </c>
      <c r="B365" s="2" t="s">
        <v>502</v>
      </c>
      <c r="C365" s="73">
        <v>109</v>
      </c>
      <c r="D365" s="74">
        <f t="shared" si="29"/>
        <v>109</v>
      </c>
      <c r="E365" s="19">
        <f t="shared" si="30"/>
        <v>39</v>
      </c>
      <c r="F365" s="73">
        <v>70</v>
      </c>
      <c r="G365" s="20">
        <v>45120</v>
      </c>
      <c r="H365" s="70">
        <f t="shared" si="28"/>
        <v>0.6422018348623854</v>
      </c>
      <c r="I365" s="79"/>
      <c r="J365" s="79">
        <v>8</v>
      </c>
      <c r="K365" s="104">
        <v>1</v>
      </c>
      <c r="L365" s="46">
        <f>13+1</f>
        <v>14</v>
      </c>
      <c r="M365" s="64"/>
    </row>
    <row r="366" spans="1:13" ht="16.5" customHeight="1" thickBot="1">
      <c r="A366" s="15" t="s">
        <v>239</v>
      </c>
      <c r="B366" s="2" t="s">
        <v>503</v>
      </c>
      <c r="C366" s="73">
        <v>102</v>
      </c>
      <c r="D366" s="74">
        <f t="shared" si="29"/>
        <v>102</v>
      </c>
      <c r="E366" s="19">
        <f t="shared" si="30"/>
        <v>30</v>
      </c>
      <c r="F366" s="73">
        <v>72</v>
      </c>
      <c r="G366" s="20">
        <v>45022</v>
      </c>
      <c r="H366" s="70">
        <f t="shared" si="28"/>
        <v>0.7058823529411765</v>
      </c>
      <c r="I366" s="79"/>
      <c r="J366" s="79">
        <v>7</v>
      </c>
      <c r="K366" s="104"/>
      <c r="L366" s="46">
        <v>4</v>
      </c>
      <c r="M366" s="137"/>
    </row>
    <row r="367" spans="1:13" ht="16.5" customHeight="1" thickBot="1">
      <c r="A367" s="15" t="s">
        <v>240</v>
      </c>
      <c r="B367" s="2" t="s">
        <v>504</v>
      </c>
      <c r="C367" s="73">
        <v>160</v>
      </c>
      <c r="D367" s="74">
        <f t="shared" si="29"/>
        <v>160</v>
      </c>
      <c r="E367" s="19">
        <f t="shared" si="30"/>
        <v>24</v>
      </c>
      <c r="F367" s="73">
        <v>136</v>
      </c>
      <c r="G367" s="20">
        <v>45050</v>
      </c>
      <c r="H367" s="70">
        <f>SUM(F367/C367)</f>
        <v>0.85</v>
      </c>
      <c r="I367" s="79">
        <v>1</v>
      </c>
      <c r="J367" s="79">
        <v>13</v>
      </c>
      <c r="K367" s="104">
        <v>2</v>
      </c>
      <c r="L367" s="46">
        <f>19+3+1</f>
        <v>23</v>
      </c>
      <c r="M367" s="137">
        <v>1</v>
      </c>
    </row>
    <row r="368" spans="1:13" ht="16.5" customHeight="1" thickBot="1">
      <c r="A368" s="15" t="s">
        <v>241</v>
      </c>
      <c r="B368" s="2" t="s">
        <v>494</v>
      </c>
      <c r="C368" s="73">
        <v>75</v>
      </c>
      <c r="D368" s="74">
        <f t="shared" si="29"/>
        <v>75</v>
      </c>
      <c r="E368" s="19">
        <f t="shared" si="30"/>
        <v>5</v>
      </c>
      <c r="F368" s="73">
        <v>70</v>
      </c>
      <c r="G368" s="20">
        <v>44865</v>
      </c>
      <c r="H368" s="70">
        <f t="shared" si="28"/>
        <v>0.9333333333333333</v>
      </c>
      <c r="I368" s="79"/>
      <c r="J368" s="79">
        <v>7</v>
      </c>
      <c r="K368" s="104"/>
      <c r="L368" s="46">
        <v>2</v>
      </c>
      <c r="M368" s="64"/>
    </row>
    <row r="369" spans="1:13" ht="16.5" customHeight="1" thickBot="1">
      <c r="A369" s="15" t="s">
        <v>242</v>
      </c>
      <c r="B369" s="2" t="s">
        <v>505</v>
      </c>
      <c r="C369" s="73">
        <v>181</v>
      </c>
      <c r="D369" s="74">
        <f t="shared" si="29"/>
        <v>181</v>
      </c>
      <c r="E369" s="19">
        <f t="shared" si="30"/>
        <v>19</v>
      </c>
      <c r="F369" s="73">
        <v>162</v>
      </c>
      <c r="G369" s="20">
        <v>45134</v>
      </c>
      <c r="H369" s="70">
        <f t="shared" si="28"/>
        <v>0.8950276243093923</v>
      </c>
      <c r="I369" s="79">
        <v>19</v>
      </c>
      <c r="J369" s="79">
        <v>9</v>
      </c>
      <c r="K369" s="104">
        <v>2</v>
      </c>
      <c r="L369" s="46">
        <f>22+1+1</f>
        <v>24</v>
      </c>
      <c r="M369" s="137"/>
    </row>
    <row r="370" spans="1:13" ht="16.5" customHeight="1" thickBot="1">
      <c r="A370" s="15" t="s">
        <v>243</v>
      </c>
      <c r="B370" s="2" t="s">
        <v>506</v>
      </c>
      <c r="C370" s="73">
        <v>42</v>
      </c>
      <c r="D370" s="74">
        <f t="shared" si="29"/>
        <v>42</v>
      </c>
      <c r="E370" s="19">
        <f t="shared" si="30"/>
        <v>10</v>
      </c>
      <c r="F370" s="73">
        <v>32</v>
      </c>
      <c r="G370" s="20">
        <v>45078</v>
      </c>
      <c r="H370" s="70">
        <f t="shared" si="28"/>
        <v>0.7619047619047619</v>
      </c>
      <c r="I370" s="79">
        <v>1</v>
      </c>
      <c r="J370" s="79">
        <v>0</v>
      </c>
      <c r="K370" s="104"/>
      <c r="L370" s="46">
        <f>3+1</f>
        <v>4</v>
      </c>
      <c r="M370" s="137"/>
    </row>
    <row r="371" spans="1:13" ht="16.5" customHeight="1" thickBot="1">
      <c r="A371" s="15" t="s">
        <v>244</v>
      </c>
      <c r="B371" s="2" t="s">
        <v>507</v>
      </c>
      <c r="C371" s="73">
        <v>43</v>
      </c>
      <c r="D371" s="74">
        <f t="shared" si="29"/>
        <v>43</v>
      </c>
      <c r="E371" s="19">
        <f t="shared" si="30"/>
        <v>19</v>
      </c>
      <c r="F371" s="73">
        <v>24</v>
      </c>
      <c r="G371" s="20">
        <v>45050</v>
      </c>
      <c r="H371" s="70">
        <f t="shared" si="28"/>
        <v>0.5581395348837209</v>
      </c>
      <c r="I371" s="79"/>
      <c r="J371" s="79">
        <v>7</v>
      </c>
      <c r="K371" s="104"/>
      <c r="L371" s="46">
        <f>1+1+1+1</f>
        <v>4</v>
      </c>
      <c r="M371" s="64"/>
    </row>
    <row r="372" spans="1:13" ht="16.5" customHeight="1" thickBot="1">
      <c r="A372" s="15" t="s">
        <v>245</v>
      </c>
      <c r="B372" s="2" t="s">
        <v>494</v>
      </c>
      <c r="C372" s="73">
        <v>98</v>
      </c>
      <c r="D372" s="74">
        <f t="shared" si="29"/>
        <v>98</v>
      </c>
      <c r="E372" s="19">
        <f t="shared" si="30"/>
        <v>38</v>
      </c>
      <c r="F372" s="73">
        <v>60</v>
      </c>
      <c r="G372" s="20">
        <v>45071</v>
      </c>
      <c r="H372" s="70">
        <f t="shared" si="28"/>
        <v>0.6122448979591837</v>
      </c>
      <c r="I372" s="79">
        <v>1</v>
      </c>
      <c r="J372" s="79">
        <v>9</v>
      </c>
      <c r="K372" s="104">
        <v>1</v>
      </c>
      <c r="L372" s="46">
        <f>5+2</f>
        <v>7</v>
      </c>
      <c r="M372" s="64"/>
    </row>
    <row r="373" spans="1:13" ht="16.5" customHeight="1" thickBot="1">
      <c r="A373" s="15">
        <v>500</v>
      </c>
      <c r="B373" s="33" t="s">
        <v>594</v>
      </c>
      <c r="C373" s="73">
        <v>129</v>
      </c>
      <c r="D373" s="74">
        <f t="shared" si="29"/>
        <v>129</v>
      </c>
      <c r="E373" s="19">
        <f>SUM(D373-F373)</f>
        <v>39</v>
      </c>
      <c r="F373" s="73">
        <v>90</v>
      </c>
      <c r="G373" s="20">
        <v>45063</v>
      </c>
      <c r="H373" s="70">
        <f>SUM(F373/C373)</f>
        <v>0.6976744186046512</v>
      </c>
      <c r="I373" s="79"/>
      <c r="J373" s="79">
        <v>5</v>
      </c>
      <c r="K373" s="104">
        <v>5</v>
      </c>
      <c r="L373" s="46">
        <v>17</v>
      </c>
      <c r="M373" s="64">
        <v>1</v>
      </c>
    </row>
    <row r="374" spans="1:11" ht="16.5" customHeight="1">
      <c r="A374" s="2"/>
      <c r="C374" s="2"/>
      <c r="D374" s="22"/>
      <c r="E374" s="10"/>
      <c r="G374" s="23"/>
      <c r="H374" s="24"/>
      <c r="I374" s="11"/>
      <c r="K374" s="2"/>
    </row>
    <row r="375" spans="2:11" ht="16.5" customHeight="1" thickBot="1">
      <c r="B375" s="14" t="s">
        <v>658</v>
      </c>
      <c r="C375" s="40">
        <v>59</v>
      </c>
      <c r="D375" s="22"/>
      <c r="E375" s="22"/>
      <c r="G375" s="23"/>
      <c r="H375" s="24"/>
      <c r="I375" s="11"/>
      <c r="K375" s="2"/>
    </row>
    <row r="376" spans="2:13" ht="16.5" customHeight="1" thickBot="1">
      <c r="B376" s="15" t="s">
        <v>487</v>
      </c>
      <c r="C376" s="18">
        <f>SUM(C353:C375)</f>
        <v>2990</v>
      </c>
      <c r="D376" s="74">
        <f>SUM(C376*1)</f>
        <v>2990</v>
      </c>
      <c r="E376" s="19">
        <f>SUM(D376-F376)</f>
        <v>454</v>
      </c>
      <c r="F376" s="17">
        <f>SUM(F342:F374)</f>
        <v>2536</v>
      </c>
      <c r="G376" s="20"/>
      <c r="H376" s="21">
        <f>SUM(F376/C376)</f>
        <v>0.8481605351170568</v>
      </c>
      <c r="I376" s="79">
        <f>SUM(I353:I373)</f>
        <v>135</v>
      </c>
      <c r="J376" s="79">
        <f>SUM(J353:J373)</f>
        <v>241</v>
      </c>
      <c r="K376" s="79">
        <f>SUM(K353:K373)</f>
        <v>36</v>
      </c>
      <c r="L376" s="17">
        <f>SUM(L353:L373)</f>
        <v>331</v>
      </c>
      <c r="M376" s="64">
        <f>SUM(M353:M373)</f>
        <v>2</v>
      </c>
    </row>
    <row r="377" spans="1:11" ht="16.5" customHeight="1">
      <c r="A377" s="84" t="str">
        <f>A23</f>
        <v> TARGET DATE : 05/17/2023    100%</v>
      </c>
      <c r="B377" s="48"/>
      <c r="C377" s="22"/>
      <c r="D377" s="53"/>
      <c r="E377" s="22"/>
      <c r="G377" s="23" t="s">
        <v>552</v>
      </c>
      <c r="H377" s="24"/>
      <c r="I377" s="11"/>
      <c r="K377" s="2"/>
    </row>
    <row r="378" spans="1:11" ht="16.5" customHeight="1">
      <c r="A378" s="14"/>
      <c r="B378" s="33" t="s">
        <v>665</v>
      </c>
      <c r="C378" s="8"/>
      <c r="D378" s="22"/>
      <c r="E378" s="10"/>
      <c r="G378" s="23"/>
      <c r="H378" s="24"/>
      <c r="I378" s="11"/>
      <c r="K378" s="2"/>
    </row>
    <row r="379" spans="1:11" ht="16.5" customHeight="1">
      <c r="A379" s="14"/>
      <c r="C379" s="22"/>
      <c r="D379" s="22"/>
      <c r="E379" s="22"/>
      <c r="G379" s="23"/>
      <c r="H379" s="24"/>
      <c r="I379" s="11"/>
      <c r="J379" s="11" t="s">
        <v>0</v>
      </c>
      <c r="K379" s="2"/>
    </row>
    <row r="380" spans="1:11" ht="16.5" customHeight="1">
      <c r="A380" s="2" t="s">
        <v>508</v>
      </c>
      <c r="C380" s="22"/>
      <c r="D380" s="53"/>
      <c r="E380" s="22"/>
      <c r="G380" s="23" t="s">
        <v>552</v>
      </c>
      <c r="H380" s="72">
        <f>F3</f>
        <v>45134</v>
      </c>
      <c r="I380" s="11"/>
      <c r="K380" s="2"/>
    </row>
    <row r="381" spans="1:11" ht="16.5" customHeight="1">
      <c r="A381" s="14" t="s">
        <v>642</v>
      </c>
      <c r="C381" s="22"/>
      <c r="D381" s="22"/>
      <c r="E381" s="22"/>
      <c r="G381" s="23" t="s">
        <v>552</v>
      </c>
      <c r="H381" s="24"/>
      <c r="I381" s="11"/>
      <c r="K381" s="2"/>
    </row>
    <row r="382" spans="2:13" ht="16.5" customHeight="1">
      <c r="B382" s="14"/>
      <c r="C382" s="22"/>
      <c r="D382" s="22"/>
      <c r="E382" s="22"/>
      <c r="G382" s="23"/>
      <c r="H382" s="24"/>
      <c r="I382" s="11"/>
      <c r="K382" s="3" t="s">
        <v>627</v>
      </c>
      <c r="L382" s="11" t="s">
        <v>574</v>
      </c>
      <c r="M382" s="3" t="s">
        <v>652</v>
      </c>
    </row>
    <row r="383" spans="3:13" ht="16.5" customHeight="1">
      <c r="C383" s="8">
        <f>C7</f>
        <v>2023</v>
      </c>
      <c r="D383" s="4">
        <f>D7</f>
        <v>1</v>
      </c>
      <c r="E383" s="8" t="s">
        <v>547</v>
      </c>
      <c r="F383" s="3" t="s">
        <v>548</v>
      </c>
      <c r="G383" s="5" t="s">
        <v>550</v>
      </c>
      <c r="H383" s="6" t="s">
        <v>559</v>
      </c>
      <c r="I383" s="11"/>
      <c r="K383" s="3" t="s">
        <v>561</v>
      </c>
      <c r="L383" s="11" t="s">
        <v>578</v>
      </c>
      <c r="M383" s="3" t="s">
        <v>561</v>
      </c>
    </row>
    <row r="384" spans="3:13" ht="16.5" customHeight="1" thickBot="1">
      <c r="C384" s="8" t="s">
        <v>558</v>
      </c>
      <c r="D384" s="8" t="s">
        <v>546</v>
      </c>
      <c r="E384" s="4">
        <f>E8</f>
        <v>1</v>
      </c>
      <c r="F384" s="3" t="str">
        <f>F8</f>
        <v>2023 MEMB</v>
      </c>
      <c r="G384" s="5" t="s">
        <v>551</v>
      </c>
      <c r="H384" s="7" t="s">
        <v>558</v>
      </c>
      <c r="I384" s="3" t="str">
        <f>I8</f>
        <v>NEW</v>
      </c>
      <c r="J384" s="3" t="s">
        <v>556</v>
      </c>
      <c r="K384" s="3" t="s">
        <v>628</v>
      </c>
      <c r="L384" s="11" t="s">
        <v>579</v>
      </c>
      <c r="M384" s="3">
        <v>462</v>
      </c>
    </row>
    <row r="385" spans="1:13" ht="16.5" customHeight="1" thickBot="1">
      <c r="A385" s="15" t="s">
        <v>246</v>
      </c>
      <c r="B385" s="2" t="s">
        <v>509</v>
      </c>
      <c r="C385" s="73">
        <v>151</v>
      </c>
      <c r="D385" s="74">
        <f>+SUM(C385*1)</f>
        <v>151</v>
      </c>
      <c r="E385" s="19">
        <f>SUM(D385-F385)</f>
        <v>18</v>
      </c>
      <c r="F385" s="73">
        <v>133</v>
      </c>
      <c r="G385" s="20">
        <v>45071</v>
      </c>
      <c r="H385" s="70">
        <f aca="true" t="shared" si="31" ref="H385:H416">SUM(F385/C385)</f>
        <v>0.8807947019867549</v>
      </c>
      <c r="I385" s="79">
        <v>7</v>
      </c>
      <c r="J385" s="79">
        <v>10</v>
      </c>
      <c r="K385" s="104">
        <v>2</v>
      </c>
      <c r="L385" s="46">
        <f>21+1+1+2</f>
        <v>25</v>
      </c>
      <c r="M385" s="140"/>
    </row>
    <row r="386" spans="1:13" ht="16.5" customHeight="1" thickBot="1">
      <c r="A386" s="15" t="s">
        <v>247</v>
      </c>
      <c r="B386" s="2" t="s">
        <v>510</v>
      </c>
      <c r="C386" s="73">
        <v>70</v>
      </c>
      <c r="D386" s="74">
        <f aca="true" t="shared" si="32" ref="D386:D416">+SUM(C386*1)</f>
        <v>70</v>
      </c>
      <c r="E386" s="19">
        <f aca="true" t="shared" si="33" ref="E386:E415">SUM(D386-F386)</f>
        <v>-1</v>
      </c>
      <c r="F386" s="73">
        <v>71</v>
      </c>
      <c r="G386" s="20">
        <v>45134</v>
      </c>
      <c r="H386" s="100">
        <f t="shared" si="31"/>
        <v>1.0142857142857142</v>
      </c>
      <c r="I386" s="79">
        <v>1</v>
      </c>
      <c r="J386" s="79">
        <v>9</v>
      </c>
      <c r="K386" s="104">
        <v>7</v>
      </c>
      <c r="L386" s="46">
        <f>13+2+2</f>
        <v>17</v>
      </c>
      <c r="M386" s="140">
        <v>2</v>
      </c>
    </row>
    <row r="387" spans="1:13" ht="16.5" customHeight="1" thickBot="1">
      <c r="A387" s="15" t="s">
        <v>248</v>
      </c>
      <c r="B387" s="2" t="s">
        <v>511</v>
      </c>
      <c r="C387" s="73">
        <v>780</v>
      </c>
      <c r="D387" s="74">
        <f t="shared" si="32"/>
        <v>780</v>
      </c>
      <c r="E387" s="19">
        <f t="shared" si="33"/>
        <v>74</v>
      </c>
      <c r="F387" s="73">
        <v>706</v>
      </c>
      <c r="G387" s="20">
        <v>45134</v>
      </c>
      <c r="H387" s="70">
        <f t="shared" si="31"/>
        <v>0.9051282051282051</v>
      </c>
      <c r="I387" s="79">
        <v>21</v>
      </c>
      <c r="J387" s="79">
        <v>70</v>
      </c>
      <c r="K387" s="104">
        <v>11</v>
      </c>
      <c r="L387" s="46">
        <f>144+2+10+8+4+4</f>
        <v>172</v>
      </c>
      <c r="M387" s="140">
        <v>1</v>
      </c>
    </row>
    <row r="388" spans="1:13" ht="16.5" customHeight="1" thickBot="1">
      <c r="A388" s="15" t="s">
        <v>249</v>
      </c>
      <c r="B388" s="2" t="s">
        <v>626</v>
      </c>
      <c r="C388" s="73">
        <v>211</v>
      </c>
      <c r="D388" s="74">
        <f t="shared" si="32"/>
        <v>211</v>
      </c>
      <c r="E388" s="19">
        <f t="shared" si="33"/>
        <v>33</v>
      </c>
      <c r="F388" s="73">
        <v>178</v>
      </c>
      <c r="G388" s="20">
        <v>45078</v>
      </c>
      <c r="H388" s="70">
        <f t="shared" si="31"/>
        <v>0.8436018957345972</v>
      </c>
      <c r="I388" s="79">
        <v>4</v>
      </c>
      <c r="J388" s="79">
        <v>22</v>
      </c>
      <c r="K388" s="104">
        <v>2</v>
      </c>
      <c r="L388" s="46">
        <f>28+2+1+1</f>
        <v>32</v>
      </c>
      <c r="M388" s="140"/>
    </row>
    <row r="389" spans="1:13" ht="16.5" customHeight="1" thickBot="1">
      <c r="A389" s="156" t="s">
        <v>250</v>
      </c>
      <c r="B389" s="2" t="s">
        <v>512</v>
      </c>
      <c r="C389" s="73">
        <v>39</v>
      </c>
      <c r="D389" s="74">
        <f t="shared" si="32"/>
        <v>39</v>
      </c>
      <c r="E389" s="19">
        <f t="shared" si="33"/>
        <v>-3</v>
      </c>
      <c r="F389" s="73">
        <v>42</v>
      </c>
      <c r="G389" s="20">
        <v>45056</v>
      </c>
      <c r="H389" s="100">
        <f t="shared" si="31"/>
        <v>1.0769230769230769</v>
      </c>
      <c r="I389" s="79">
        <v>2</v>
      </c>
      <c r="J389" s="79">
        <v>4</v>
      </c>
      <c r="K389" s="104"/>
      <c r="L389" s="46">
        <v>0</v>
      </c>
      <c r="M389" s="140"/>
    </row>
    <row r="390" spans="1:13" ht="16.5" customHeight="1" thickBot="1">
      <c r="A390" s="15" t="s">
        <v>251</v>
      </c>
      <c r="B390" s="2" t="s">
        <v>513</v>
      </c>
      <c r="C390" s="73">
        <v>83</v>
      </c>
      <c r="D390" s="74">
        <f t="shared" si="32"/>
        <v>83</v>
      </c>
      <c r="E390" s="19">
        <f t="shared" si="33"/>
        <v>4</v>
      </c>
      <c r="F390" s="73">
        <v>79</v>
      </c>
      <c r="G390" s="20">
        <v>44979</v>
      </c>
      <c r="H390" s="70">
        <f t="shared" si="31"/>
        <v>0.9518072289156626</v>
      </c>
      <c r="I390" s="79">
        <v>1</v>
      </c>
      <c r="J390" s="79">
        <v>32</v>
      </c>
      <c r="K390" s="104"/>
      <c r="L390" s="46">
        <v>5</v>
      </c>
      <c r="M390" s="140"/>
    </row>
    <row r="391" spans="1:13" ht="16.5" customHeight="1" thickBot="1">
      <c r="A391" s="15" t="s">
        <v>252</v>
      </c>
      <c r="B391" s="2" t="s">
        <v>514</v>
      </c>
      <c r="C391" s="73">
        <v>69</v>
      </c>
      <c r="D391" s="74">
        <f t="shared" si="32"/>
        <v>69</v>
      </c>
      <c r="E391" s="19">
        <f t="shared" si="33"/>
        <v>12</v>
      </c>
      <c r="F391" s="73">
        <v>57</v>
      </c>
      <c r="G391" s="20">
        <v>45078</v>
      </c>
      <c r="H391" s="70">
        <f t="shared" si="31"/>
        <v>0.8260869565217391</v>
      </c>
      <c r="I391" s="79">
        <v>2</v>
      </c>
      <c r="J391" s="79">
        <v>7</v>
      </c>
      <c r="K391" s="104">
        <v>1</v>
      </c>
      <c r="L391" s="46">
        <f>5+1+1+1+1</f>
        <v>9</v>
      </c>
      <c r="M391" s="140"/>
    </row>
    <row r="392" spans="1:13" ht="16.5" customHeight="1" thickBot="1">
      <c r="A392" s="15" t="s">
        <v>253</v>
      </c>
      <c r="B392" s="2" t="s">
        <v>515</v>
      </c>
      <c r="C392" s="73">
        <v>90</v>
      </c>
      <c r="D392" s="74">
        <f t="shared" si="32"/>
        <v>90</v>
      </c>
      <c r="E392" s="19">
        <f t="shared" si="33"/>
        <v>11</v>
      </c>
      <c r="F392" s="73">
        <v>79</v>
      </c>
      <c r="G392" s="20">
        <v>45134</v>
      </c>
      <c r="H392" s="70">
        <f t="shared" si="31"/>
        <v>0.8777777777777778</v>
      </c>
      <c r="I392" s="79">
        <v>0</v>
      </c>
      <c r="J392" s="79">
        <v>10</v>
      </c>
      <c r="K392" s="104">
        <v>4</v>
      </c>
      <c r="L392" s="46">
        <f>9+1+2</f>
        <v>12</v>
      </c>
      <c r="M392" s="140">
        <v>2</v>
      </c>
    </row>
    <row r="393" spans="1:13" ht="16.5" customHeight="1" thickBot="1">
      <c r="A393" s="154" t="s">
        <v>254</v>
      </c>
      <c r="B393" s="2" t="s">
        <v>516</v>
      </c>
      <c r="C393" s="73">
        <v>15</v>
      </c>
      <c r="D393" s="74">
        <f t="shared" si="32"/>
        <v>15</v>
      </c>
      <c r="E393" s="19">
        <f t="shared" si="33"/>
        <v>-1</v>
      </c>
      <c r="F393" s="73">
        <v>16</v>
      </c>
      <c r="G393" s="20">
        <v>44965</v>
      </c>
      <c r="H393" s="100">
        <f t="shared" si="31"/>
        <v>1.0666666666666667</v>
      </c>
      <c r="I393" s="79">
        <v>1</v>
      </c>
      <c r="J393" s="79">
        <v>1</v>
      </c>
      <c r="K393" s="104"/>
      <c r="L393" s="46">
        <v>0</v>
      </c>
      <c r="M393" s="140"/>
    </row>
    <row r="394" spans="1:13" ht="16.5" customHeight="1" thickBot="1">
      <c r="A394" s="15" t="s">
        <v>255</v>
      </c>
      <c r="B394" s="2" t="s">
        <v>517</v>
      </c>
      <c r="C394" s="73">
        <v>189</v>
      </c>
      <c r="D394" s="74">
        <f t="shared" si="32"/>
        <v>189</v>
      </c>
      <c r="E394" s="19">
        <f t="shared" si="33"/>
        <v>17</v>
      </c>
      <c r="F394" s="73">
        <v>172</v>
      </c>
      <c r="G394" s="20">
        <v>45055</v>
      </c>
      <c r="H394" s="70">
        <f t="shared" si="31"/>
        <v>0.91005291005291</v>
      </c>
      <c r="I394" s="79">
        <v>1</v>
      </c>
      <c r="J394" s="79">
        <v>16</v>
      </c>
      <c r="K394" s="104">
        <v>1</v>
      </c>
      <c r="L394" s="46">
        <f>21+1+1+1</f>
        <v>24</v>
      </c>
      <c r="M394" s="140"/>
    </row>
    <row r="395" spans="1:13" ht="16.5" customHeight="1" thickBot="1">
      <c r="A395" s="15" t="s">
        <v>256</v>
      </c>
      <c r="B395" s="2" t="s">
        <v>518</v>
      </c>
      <c r="C395" s="73">
        <v>83</v>
      </c>
      <c r="D395" s="74">
        <f t="shared" si="32"/>
        <v>83</v>
      </c>
      <c r="E395" s="19">
        <f t="shared" si="33"/>
        <v>7</v>
      </c>
      <c r="F395" s="73">
        <v>76</v>
      </c>
      <c r="G395" s="20">
        <v>44979</v>
      </c>
      <c r="H395" s="70">
        <f t="shared" si="31"/>
        <v>0.9156626506024096</v>
      </c>
      <c r="I395" s="79">
        <v>4</v>
      </c>
      <c r="J395" s="79">
        <v>10</v>
      </c>
      <c r="K395" s="104">
        <v>1</v>
      </c>
      <c r="L395" s="46">
        <f>2+1+2</f>
        <v>5</v>
      </c>
      <c r="M395" s="140">
        <v>2</v>
      </c>
    </row>
    <row r="396" spans="1:13" ht="16.5" customHeight="1" thickBot="1">
      <c r="A396" s="15" t="s">
        <v>257</v>
      </c>
      <c r="B396" s="2" t="s">
        <v>519</v>
      </c>
      <c r="C396" s="73">
        <v>78</v>
      </c>
      <c r="D396" s="74">
        <f t="shared" si="32"/>
        <v>78</v>
      </c>
      <c r="E396" s="19">
        <f t="shared" si="33"/>
        <v>46</v>
      </c>
      <c r="F396" s="73">
        <v>32</v>
      </c>
      <c r="G396" s="20">
        <v>44971</v>
      </c>
      <c r="H396" s="70">
        <f t="shared" si="31"/>
        <v>0.41025641025641024</v>
      </c>
      <c r="I396" s="79">
        <v>4</v>
      </c>
      <c r="J396" s="79">
        <v>6</v>
      </c>
      <c r="K396" s="104">
        <v>5</v>
      </c>
      <c r="L396" s="46">
        <v>2</v>
      </c>
      <c r="M396" s="140"/>
    </row>
    <row r="397" spans="1:13" ht="16.5" customHeight="1" thickBot="1">
      <c r="A397" s="15" t="s">
        <v>258</v>
      </c>
      <c r="B397" s="2" t="s">
        <v>520</v>
      </c>
      <c r="C397" s="73">
        <v>111</v>
      </c>
      <c r="D397" s="74">
        <f t="shared" si="32"/>
        <v>111</v>
      </c>
      <c r="E397" s="19">
        <f t="shared" si="33"/>
        <v>25</v>
      </c>
      <c r="F397" s="73">
        <v>86</v>
      </c>
      <c r="G397" s="20">
        <v>45022</v>
      </c>
      <c r="H397" s="70">
        <f t="shared" si="31"/>
        <v>0.7747747747747747</v>
      </c>
      <c r="I397" s="79">
        <v>12</v>
      </c>
      <c r="J397" s="79">
        <v>4</v>
      </c>
      <c r="K397" s="104">
        <v>4</v>
      </c>
      <c r="L397" s="46">
        <f>11+1+1</f>
        <v>13</v>
      </c>
      <c r="M397" s="140"/>
    </row>
    <row r="398" spans="1:13" ht="16.5" customHeight="1" thickBot="1">
      <c r="A398" s="15">
        <v>144</v>
      </c>
      <c r="B398" s="2" t="s">
        <v>554</v>
      </c>
      <c r="C398" s="73">
        <v>53</v>
      </c>
      <c r="D398" s="74">
        <f t="shared" si="32"/>
        <v>53</v>
      </c>
      <c r="E398" s="19">
        <f t="shared" si="33"/>
        <v>0</v>
      </c>
      <c r="F398" s="73">
        <v>53</v>
      </c>
      <c r="G398" s="20">
        <v>45071</v>
      </c>
      <c r="H398" s="100">
        <f t="shared" si="31"/>
        <v>1</v>
      </c>
      <c r="I398" s="79">
        <v>4</v>
      </c>
      <c r="J398" s="79">
        <v>7</v>
      </c>
      <c r="K398" s="104">
        <v>2</v>
      </c>
      <c r="L398" s="46">
        <f>12+1</f>
        <v>13</v>
      </c>
      <c r="M398" s="140">
        <v>1</v>
      </c>
    </row>
    <row r="399" spans="1:13" ht="16.5" customHeight="1" thickBot="1">
      <c r="A399" s="15" t="s">
        <v>259</v>
      </c>
      <c r="B399" s="14" t="s">
        <v>521</v>
      </c>
      <c r="C399" s="73">
        <v>34</v>
      </c>
      <c r="D399" s="74">
        <f t="shared" si="32"/>
        <v>34</v>
      </c>
      <c r="E399" s="19">
        <f t="shared" si="33"/>
        <v>2</v>
      </c>
      <c r="F399" s="73">
        <v>32</v>
      </c>
      <c r="G399" s="20">
        <v>45106</v>
      </c>
      <c r="H399" s="70">
        <f t="shared" si="31"/>
        <v>0.9411764705882353</v>
      </c>
      <c r="I399" s="79">
        <v>0</v>
      </c>
      <c r="J399" s="79">
        <v>1</v>
      </c>
      <c r="K399" s="104"/>
      <c r="L399" s="46">
        <f>2+1</f>
        <v>3</v>
      </c>
      <c r="M399" s="140"/>
    </row>
    <row r="400" spans="1:14" ht="16.5" customHeight="1" thickBot="1">
      <c r="A400" s="15" t="s">
        <v>260</v>
      </c>
      <c r="B400" s="2" t="s">
        <v>522</v>
      </c>
      <c r="C400" s="73">
        <v>121</v>
      </c>
      <c r="D400" s="74">
        <f t="shared" si="32"/>
        <v>121</v>
      </c>
      <c r="E400" s="19">
        <f t="shared" si="33"/>
        <v>6</v>
      </c>
      <c r="F400" s="73">
        <v>115</v>
      </c>
      <c r="G400" s="20">
        <v>45093</v>
      </c>
      <c r="H400" s="70">
        <f t="shared" si="31"/>
        <v>0.9504132231404959</v>
      </c>
      <c r="I400" s="79">
        <v>5</v>
      </c>
      <c r="J400" s="79">
        <v>5</v>
      </c>
      <c r="K400" s="104">
        <v>2</v>
      </c>
      <c r="L400" s="46">
        <f>21+2+2</f>
        <v>25</v>
      </c>
      <c r="M400" s="140">
        <v>1</v>
      </c>
      <c r="N400" s="2" t="s">
        <v>562</v>
      </c>
    </row>
    <row r="401" spans="1:13" ht="16.5" customHeight="1" thickBot="1">
      <c r="A401" s="15" t="s">
        <v>261</v>
      </c>
      <c r="B401" s="2" t="s">
        <v>523</v>
      </c>
      <c r="C401" s="73">
        <v>23</v>
      </c>
      <c r="D401" s="74">
        <f t="shared" si="32"/>
        <v>23</v>
      </c>
      <c r="E401" s="19">
        <f t="shared" si="33"/>
        <v>6</v>
      </c>
      <c r="F401" s="73">
        <v>17</v>
      </c>
      <c r="G401" s="20">
        <v>44924</v>
      </c>
      <c r="H401" s="70">
        <f t="shared" si="31"/>
        <v>0.7391304347826086</v>
      </c>
      <c r="I401" s="79">
        <v>0</v>
      </c>
      <c r="J401" s="79">
        <v>2</v>
      </c>
      <c r="K401" s="104"/>
      <c r="L401" s="46">
        <v>3</v>
      </c>
      <c r="M401" s="140"/>
    </row>
    <row r="402" spans="1:13" ht="16.5" customHeight="1" thickBot="1">
      <c r="A402" s="15" t="s">
        <v>262</v>
      </c>
      <c r="B402" s="2" t="s">
        <v>524</v>
      </c>
      <c r="C402" s="73">
        <v>551</v>
      </c>
      <c r="D402" s="74">
        <f t="shared" si="32"/>
        <v>551</v>
      </c>
      <c r="E402" s="19">
        <f t="shared" si="33"/>
        <v>61</v>
      </c>
      <c r="F402" s="73">
        <v>490</v>
      </c>
      <c r="G402" s="20">
        <v>45120</v>
      </c>
      <c r="H402" s="70">
        <f t="shared" si="31"/>
        <v>0.8892921960072595</v>
      </c>
      <c r="I402" s="79">
        <v>10</v>
      </c>
      <c r="J402" s="79">
        <v>89</v>
      </c>
      <c r="K402" s="104">
        <v>8</v>
      </c>
      <c r="L402" s="46">
        <f>70+1+3+5+4+2</f>
        <v>85</v>
      </c>
      <c r="M402" s="140">
        <v>1</v>
      </c>
    </row>
    <row r="403" spans="1:13" ht="16.5" customHeight="1" thickBot="1">
      <c r="A403" s="15" t="s">
        <v>263</v>
      </c>
      <c r="B403" s="2" t="s">
        <v>525</v>
      </c>
      <c r="C403" s="73">
        <v>31</v>
      </c>
      <c r="D403" s="74">
        <f t="shared" si="32"/>
        <v>31</v>
      </c>
      <c r="E403" s="19">
        <f t="shared" si="33"/>
        <v>7</v>
      </c>
      <c r="F403" s="73">
        <v>24</v>
      </c>
      <c r="G403" s="20">
        <v>45078</v>
      </c>
      <c r="H403" s="70">
        <f t="shared" si="31"/>
        <v>0.7741935483870968</v>
      </c>
      <c r="I403" s="79">
        <v>0</v>
      </c>
      <c r="J403" s="79">
        <v>6</v>
      </c>
      <c r="K403" s="104"/>
      <c r="L403" s="46">
        <f>1+1+1+1</f>
        <v>4</v>
      </c>
      <c r="M403" s="140">
        <v>1</v>
      </c>
    </row>
    <row r="404" spans="1:13" ht="16.5" customHeight="1" thickBot="1">
      <c r="A404" s="15" t="s">
        <v>264</v>
      </c>
      <c r="B404" s="2" t="s">
        <v>526</v>
      </c>
      <c r="C404" s="73">
        <v>45</v>
      </c>
      <c r="D404" s="74">
        <f t="shared" si="32"/>
        <v>45</v>
      </c>
      <c r="E404" s="19">
        <f t="shared" si="33"/>
        <v>4</v>
      </c>
      <c r="F404" s="73">
        <v>41</v>
      </c>
      <c r="G404" s="20">
        <v>45042</v>
      </c>
      <c r="H404" s="70">
        <f t="shared" si="31"/>
        <v>0.9111111111111111</v>
      </c>
      <c r="I404" s="79">
        <v>1</v>
      </c>
      <c r="J404" s="79">
        <v>3</v>
      </c>
      <c r="K404" s="104">
        <v>1</v>
      </c>
      <c r="L404" s="46">
        <v>7</v>
      </c>
      <c r="M404" s="140">
        <v>1</v>
      </c>
    </row>
    <row r="405" spans="1:13" ht="16.5" customHeight="1" thickBot="1">
      <c r="A405" s="15" t="s">
        <v>265</v>
      </c>
      <c r="B405" s="2" t="s">
        <v>527</v>
      </c>
      <c r="C405" s="73">
        <v>65</v>
      </c>
      <c r="D405" s="74">
        <f t="shared" si="32"/>
        <v>65</v>
      </c>
      <c r="E405" s="19">
        <f t="shared" si="33"/>
        <v>6</v>
      </c>
      <c r="F405" s="46">
        <v>59</v>
      </c>
      <c r="G405" s="20">
        <v>45106</v>
      </c>
      <c r="H405" s="70">
        <f t="shared" si="31"/>
        <v>0.9076923076923077</v>
      </c>
      <c r="I405" s="79">
        <v>0</v>
      </c>
      <c r="J405" s="79">
        <v>7</v>
      </c>
      <c r="K405" s="104">
        <v>4</v>
      </c>
      <c r="L405" s="46">
        <f>13+2+2+1</f>
        <v>18</v>
      </c>
      <c r="M405" s="140">
        <v>3</v>
      </c>
    </row>
    <row r="406" spans="1:13" ht="16.5" customHeight="1" thickBot="1">
      <c r="A406" s="15" t="s">
        <v>266</v>
      </c>
      <c r="B406" s="2" t="s">
        <v>528</v>
      </c>
      <c r="C406" s="73">
        <v>56</v>
      </c>
      <c r="D406" s="74">
        <f t="shared" si="32"/>
        <v>56</v>
      </c>
      <c r="E406" s="19">
        <f t="shared" si="33"/>
        <v>8</v>
      </c>
      <c r="F406" s="73">
        <v>48</v>
      </c>
      <c r="G406" s="20">
        <v>45022</v>
      </c>
      <c r="H406" s="70">
        <f t="shared" si="31"/>
        <v>0.8571428571428571</v>
      </c>
      <c r="I406" s="79">
        <v>0</v>
      </c>
      <c r="J406" s="79">
        <v>10</v>
      </c>
      <c r="K406" s="104"/>
      <c r="L406" s="46">
        <f>2+2</f>
        <v>4</v>
      </c>
      <c r="M406" s="140"/>
    </row>
    <row r="407" spans="1:13" ht="16.5" customHeight="1" thickBot="1">
      <c r="A407" s="15" t="s">
        <v>267</v>
      </c>
      <c r="B407" s="2" t="s">
        <v>529</v>
      </c>
      <c r="C407" s="73">
        <v>256</v>
      </c>
      <c r="D407" s="74">
        <f t="shared" si="32"/>
        <v>256</v>
      </c>
      <c r="E407" s="19">
        <f t="shared" si="33"/>
        <v>5</v>
      </c>
      <c r="F407" s="73">
        <v>251</v>
      </c>
      <c r="G407" s="20">
        <v>45078</v>
      </c>
      <c r="H407" s="70">
        <f t="shared" si="31"/>
        <v>0.98046875</v>
      </c>
      <c r="I407" s="79">
        <v>18</v>
      </c>
      <c r="J407" s="79">
        <v>24</v>
      </c>
      <c r="K407" s="111">
        <v>2</v>
      </c>
      <c r="L407" s="46">
        <f>59+5+4+1+2</f>
        <v>71</v>
      </c>
      <c r="M407" s="142"/>
    </row>
    <row r="408" spans="1:13" ht="16.5" customHeight="1" thickBot="1">
      <c r="A408" s="15" t="s">
        <v>268</v>
      </c>
      <c r="B408" s="2" t="s">
        <v>530</v>
      </c>
      <c r="C408" s="73">
        <v>104</v>
      </c>
      <c r="D408" s="74">
        <f t="shared" si="32"/>
        <v>104</v>
      </c>
      <c r="E408" s="19">
        <f t="shared" si="33"/>
        <v>10</v>
      </c>
      <c r="F408" s="73">
        <v>94</v>
      </c>
      <c r="G408" s="20">
        <v>45078</v>
      </c>
      <c r="H408" s="70">
        <f t="shared" si="31"/>
        <v>0.9038461538461539</v>
      </c>
      <c r="I408" s="79">
        <v>4</v>
      </c>
      <c r="J408" s="79">
        <v>11</v>
      </c>
      <c r="K408" s="104">
        <v>2</v>
      </c>
      <c r="L408" s="46">
        <f>13+2+1</f>
        <v>16</v>
      </c>
      <c r="M408" s="140"/>
    </row>
    <row r="409" spans="1:13" ht="16.5" customHeight="1" thickBot="1">
      <c r="A409" s="15">
        <v>230</v>
      </c>
      <c r="B409" s="33" t="s">
        <v>560</v>
      </c>
      <c r="C409" s="73">
        <v>287</v>
      </c>
      <c r="D409" s="74">
        <f t="shared" si="32"/>
        <v>287</v>
      </c>
      <c r="E409" s="19">
        <f>SUM(D409-F409)</f>
        <v>22</v>
      </c>
      <c r="F409" s="73">
        <v>265</v>
      </c>
      <c r="G409" s="20">
        <v>45134</v>
      </c>
      <c r="H409" s="70">
        <f t="shared" si="31"/>
        <v>0.9233449477351916</v>
      </c>
      <c r="I409" s="79">
        <v>4</v>
      </c>
      <c r="J409" s="79">
        <v>65</v>
      </c>
      <c r="K409" s="104">
        <v>11</v>
      </c>
      <c r="L409" s="46">
        <f>48+3+1+2+1+1</f>
        <v>56</v>
      </c>
      <c r="M409" s="137"/>
    </row>
    <row r="410" spans="1:13" ht="16.5" customHeight="1" thickBot="1">
      <c r="A410" s="15">
        <v>253</v>
      </c>
      <c r="B410" s="2" t="s">
        <v>531</v>
      </c>
      <c r="C410" s="73">
        <v>61</v>
      </c>
      <c r="D410" s="74">
        <f t="shared" si="32"/>
        <v>61</v>
      </c>
      <c r="E410" s="19">
        <f t="shared" si="33"/>
        <v>7</v>
      </c>
      <c r="F410" s="73">
        <v>54</v>
      </c>
      <c r="G410" s="20">
        <v>45050</v>
      </c>
      <c r="H410" s="70">
        <f t="shared" si="31"/>
        <v>0.8852459016393442</v>
      </c>
      <c r="I410" s="79">
        <v>0</v>
      </c>
      <c r="J410" s="79">
        <v>5</v>
      </c>
      <c r="K410" s="104">
        <v>1</v>
      </c>
      <c r="L410" s="46">
        <f>9+1</f>
        <v>10</v>
      </c>
      <c r="M410" s="140">
        <v>2</v>
      </c>
    </row>
    <row r="411" spans="1:13" ht="16.5" customHeight="1" thickBot="1">
      <c r="A411" s="15" t="s">
        <v>269</v>
      </c>
      <c r="B411" s="2" t="s">
        <v>532</v>
      </c>
      <c r="C411" s="73">
        <v>111</v>
      </c>
      <c r="D411" s="74">
        <f t="shared" si="32"/>
        <v>111</v>
      </c>
      <c r="E411" s="19">
        <f t="shared" si="33"/>
        <v>12</v>
      </c>
      <c r="F411" s="73">
        <v>99</v>
      </c>
      <c r="G411" s="20">
        <v>45063</v>
      </c>
      <c r="H411" s="70">
        <f t="shared" si="31"/>
        <v>0.8918918918918919</v>
      </c>
      <c r="I411" s="79">
        <v>3</v>
      </c>
      <c r="J411" s="79">
        <v>27</v>
      </c>
      <c r="K411" s="104">
        <v>1</v>
      </c>
      <c r="L411" s="46">
        <f>8+1+1</f>
        <v>10</v>
      </c>
      <c r="M411" s="140"/>
    </row>
    <row r="412" spans="1:13" ht="16.5" customHeight="1" thickBot="1">
      <c r="A412" s="15" t="s">
        <v>270</v>
      </c>
      <c r="B412" s="2" t="s">
        <v>533</v>
      </c>
      <c r="C412" s="73">
        <v>36</v>
      </c>
      <c r="D412" s="74">
        <f t="shared" si="32"/>
        <v>36</v>
      </c>
      <c r="E412" s="19">
        <f t="shared" si="33"/>
        <v>2</v>
      </c>
      <c r="F412" s="73">
        <v>34</v>
      </c>
      <c r="G412" s="20">
        <v>45093</v>
      </c>
      <c r="H412" s="70">
        <f t="shared" si="31"/>
        <v>0.9444444444444444</v>
      </c>
      <c r="I412" s="79">
        <v>0</v>
      </c>
      <c r="J412" s="79">
        <v>7</v>
      </c>
      <c r="K412" s="104"/>
      <c r="L412" s="46">
        <f>2+1+2+1+1</f>
        <v>7</v>
      </c>
      <c r="M412" s="137"/>
    </row>
    <row r="413" spans="1:13" ht="16.5" customHeight="1" thickBot="1">
      <c r="A413" s="15" t="s">
        <v>271</v>
      </c>
      <c r="B413" s="2" t="s">
        <v>534</v>
      </c>
      <c r="C413" s="73">
        <v>30</v>
      </c>
      <c r="D413" s="74">
        <f t="shared" si="32"/>
        <v>30</v>
      </c>
      <c r="E413" s="19">
        <f t="shared" si="33"/>
        <v>4</v>
      </c>
      <c r="F413" s="73">
        <v>26</v>
      </c>
      <c r="G413" s="20">
        <v>45093</v>
      </c>
      <c r="H413" s="70">
        <f t="shared" si="31"/>
        <v>0.8666666666666667</v>
      </c>
      <c r="I413" s="79">
        <v>0</v>
      </c>
      <c r="J413" s="79">
        <v>4</v>
      </c>
      <c r="K413" s="104"/>
      <c r="L413" s="46">
        <f>3+1</f>
        <v>4</v>
      </c>
      <c r="M413" s="137"/>
    </row>
    <row r="414" spans="1:13" ht="16.5" customHeight="1" thickBot="1">
      <c r="A414" s="15" t="s">
        <v>272</v>
      </c>
      <c r="B414" s="2" t="s">
        <v>535</v>
      </c>
      <c r="C414" s="73">
        <v>85</v>
      </c>
      <c r="D414" s="74">
        <f t="shared" si="32"/>
        <v>85</v>
      </c>
      <c r="E414" s="19">
        <f t="shared" si="33"/>
        <v>11</v>
      </c>
      <c r="F414" s="73">
        <v>74</v>
      </c>
      <c r="G414" s="20">
        <v>45106</v>
      </c>
      <c r="H414" s="70">
        <f t="shared" si="31"/>
        <v>0.8705882352941177</v>
      </c>
      <c r="I414" s="79">
        <v>0</v>
      </c>
      <c r="J414" s="79">
        <v>7</v>
      </c>
      <c r="K414" s="104"/>
      <c r="L414" s="46">
        <f>11+1+2+1</f>
        <v>15</v>
      </c>
      <c r="M414" s="140"/>
    </row>
    <row r="415" spans="1:18" ht="16.5" customHeight="1" thickBot="1">
      <c r="A415" s="15" t="s">
        <v>273</v>
      </c>
      <c r="B415" s="2" t="s">
        <v>516</v>
      </c>
      <c r="C415" s="73">
        <v>53</v>
      </c>
      <c r="D415" s="74">
        <f t="shared" si="32"/>
        <v>53</v>
      </c>
      <c r="E415" s="19">
        <f t="shared" si="33"/>
        <v>17</v>
      </c>
      <c r="F415" s="73">
        <v>36</v>
      </c>
      <c r="G415" s="20">
        <v>45063</v>
      </c>
      <c r="H415" s="70">
        <f t="shared" si="31"/>
        <v>0.6792452830188679</v>
      </c>
      <c r="I415" s="79">
        <v>0</v>
      </c>
      <c r="J415" s="79">
        <v>5</v>
      </c>
      <c r="K415" s="104"/>
      <c r="L415" s="46">
        <f>7+1</f>
        <v>8</v>
      </c>
      <c r="M415" s="137"/>
      <c r="R415" s="29"/>
    </row>
    <row r="416" spans="1:13" ht="16.5" customHeight="1" thickBot="1">
      <c r="A416" s="15" t="s">
        <v>274</v>
      </c>
      <c r="B416" s="2" t="s">
        <v>536</v>
      </c>
      <c r="C416" s="73">
        <v>49</v>
      </c>
      <c r="D416" s="74">
        <f t="shared" si="32"/>
        <v>49</v>
      </c>
      <c r="E416" s="19">
        <f>SUM(D416-F416)</f>
        <v>13</v>
      </c>
      <c r="F416" s="73">
        <v>36</v>
      </c>
      <c r="G416" s="20">
        <v>45093</v>
      </c>
      <c r="H416" s="70">
        <f t="shared" si="31"/>
        <v>0.7346938775510204</v>
      </c>
      <c r="I416" s="79">
        <v>0</v>
      </c>
      <c r="J416" s="79">
        <v>4</v>
      </c>
      <c r="K416" s="104">
        <v>2</v>
      </c>
      <c r="L416" s="46">
        <f>8+1+1+1</f>
        <v>11</v>
      </c>
      <c r="M416" s="140">
        <v>3</v>
      </c>
    </row>
    <row r="417" spans="1:11" ht="16.5" customHeight="1">
      <c r="A417" s="2"/>
      <c r="C417" s="22"/>
      <c r="E417" s="10"/>
      <c r="G417" s="23"/>
      <c r="H417" s="24"/>
      <c r="I417" s="11"/>
      <c r="K417" s="2"/>
    </row>
    <row r="418" spans="1:11" ht="16.5" customHeight="1" thickBot="1">
      <c r="A418" s="2"/>
      <c r="B418" s="14" t="s">
        <v>651</v>
      </c>
      <c r="C418" s="126">
        <v>80</v>
      </c>
      <c r="E418" s="10"/>
      <c r="G418" s="29"/>
      <c r="H418" s="24"/>
      <c r="I418" s="11"/>
      <c r="K418" s="2"/>
    </row>
    <row r="419" spans="2:13" ht="16.5" customHeight="1" thickBot="1">
      <c r="B419" s="15" t="s">
        <v>487</v>
      </c>
      <c r="C419" s="18">
        <f>SUM(C385:C418)</f>
        <v>4100</v>
      </c>
      <c r="D419" s="74">
        <f>+SUM(C419*1)</f>
        <v>4100</v>
      </c>
      <c r="E419" s="19">
        <f>SUM(D419-F419)</f>
        <v>525</v>
      </c>
      <c r="F419" s="17">
        <f>SUM(F385:F417)</f>
        <v>3575</v>
      </c>
      <c r="G419" s="31"/>
      <c r="H419" s="21">
        <f>SUM(F419/C419)</f>
        <v>0.8719512195121951</v>
      </c>
      <c r="I419" s="79">
        <f>SUM(I385:I416)</f>
        <v>109</v>
      </c>
      <c r="J419" s="79">
        <f>SUM(J385:J417)</f>
        <v>490</v>
      </c>
      <c r="K419" s="101">
        <f>SUM(K385:K416)</f>
        <v>74</v>
      </c>
      <c r="L419" s="18">
        <f>SUM(L385:L416)</f>
        <v>686</v>
      </c>
      <c r="M419" s="144">
        <f>SUM(M385:M416)</f>
        <v>20</v>
      </c>
    </row>
    <row r="420" spans="1:11" ht="16.5" customHeight="1">
      <c r="A420" s="84" t="str">
        <f>A23</f>
        <v> TARGET DATE : 05/17/2023    100%</v>
      </c>
      <c r="B420" s="48"/>
      <c r="C420" s="22"/>
      <c r="E420" s="22"/>
      <c r="G420" s="23"/>
      <c r="H420" s="24"/>
      <c r="I420" s="11"/>
      <c r="K420" s="2"/>
    </row>
    <row r="421" spans="1:11" ht="16.5" customHeight="1">
      <c r="A421" s="14"/>
      <c r="B421" s="33" t="s">
        <v>683</v>
      </c>
      <c r="C421" s="22"/>
      <c r="E421" s="10"/>
      <c r="G421" s="23"/>
      <c r="I421" s="11"/>
      <c r="K421" s="2"/>
    </row>
    <row r="422" spans="1:11" ht="16.5" customHeight="1">
      <c r="A422" s="14"/>
      <c r="C422" s="22"/>
      <c r="E422" s="10"/>
      <c r="G422" s="23"/>
      <c r="I422" s="11"/>
      <c r="K422" s="2"/>
    </row>
    <row r="423" spans="1:12" ht="16.5" customHeight="1">
      <c r="A423" s="14"/>
      <c r="B423" s="10" t="s">
        <v>630</v>
      </c>
      <c r="C423" s="8">
        <v>286</v>
      </c>
      <c r="D423" s="33"/>
      <c r="E423" s="22"/>
      <c r="G423" s="23"/>
      <c r="H423" s="72">
        <f>F3</f>
        <v>45134</v>
      </c>
      <c r="I423" s="33"/>
      <c r="J423" s="33"/>
      <c r="K423" s="33"/>
      <c r="L423" s="33"/>
    </row>
    <row r="424" spans="1:12" ht="16.5" customHeight="1">
      <c r="A424" s="14"/>
      <c r="B424" s="15"/>
      <c r="C424" s="22"/>
      <c r="D424" s="33"/>
      <c r="E424" s="22"/>
      <c r="G424" s="23"/>
      <c r="H424" s="24"/>
      <c r="I424" s="33"/>
      <c r="J424" s="33"/>
      <c r="K424" s="33"/>
      <c r="L424" s="33"/>
    </row>
    <row r="425" spans="1:11" ht="16.5" customHeight="1">
      <c r="A425" s="14"/>
      <c r="B425" s="2" t="s">
        <v>592</v>
      </c>
      <c r="C425" s="33">
        <f>J455</f>
        <v>3194</v>
      </c>
      <c r="D425" s="2"/>
      <c r="E425" s="148"/>
      <c r="F425" s="15"/>
      <c r="G425" s="39"/>
      <c r="H425" s="149"/>
      <c r="J425" s="2"/>
      <c r="K425" s="2"/>
    </row>
    <row r="426" spans="1:12" ht="16.5" customHeight="1">
      <c r="A426" s="14"/>
      <c r="B426" s="2" t="s">
        <v>666</v>
      </c>
      <c r="C426" s="147">
        <f>L455</f>
        <v>5280</v>
      </c>
      <c r="D426" s="33"/>
      <c r="E426" s="22"/>
      <c r="G426" s="23"/>
      <c r="H426" s="24"/>
      <c r="I426" s="33"/>
      <c r="J426" s="33"/>
      <c r="K426" s="33"/>
      <c r="L426" s="33"/>
    </row>
    <row r="427" spans="1:12" ht="16.5" customHeight="1" hidden="1">
      <c r="A427" s="14"/>
      <c r="B427" s="33" t="s">
        <v>667</v>
      </c>
      <c r="C427" s="2" t="e">
        <f>#REF!</f>
        <v>#REF!</v>
      </c>
      <c r="D427" s="33"/>
      <c r="E427" s="22"/>
      <c r="G427" s="23"/>
      <c r="H427" s="24"/>
      <c r="I427" s="33"/>
      <c r="J427" s="33"/>
      <c r="K427" s="33"/>
      <c r="L427" s="33"/>
    </row>
    <row r="428" spans="1:11" ht="16.5" customHeight="1">
      <c r="A428" s="14"/>
      <c r="B428" s="48" t="s">
        <v>624</v>
      </c>
      <c r="C428" s="33">
        <f>K455</f>
        <v>368</v>
      </c>
      <c r="D428" s="3"/>
      <c r="E428" s="8"/>
      <c r="F428" s="3"/>
      <c r="G428" s="23"/>
      <c r="H428" s="24"/>
      <c r="I428" s="3"/>
      <c r="J428" s="3"/>
      <c r="K428" s="2"/>
    </row>
    <row r="429" spans="1:11" ht="16.5" customHeight="1">
      <c r="A429" s="14"/>
      <c r="B429" s="48" t="s">
        <v>653</v>
      </c>
      <c r="C429" s="15">
        <f>+M455</f>
        <v>81</v>
      </c>
      <c r="D429" s="3"/>
      <c r="E429" s="22"/>
      <c r="G429" s="23"/>
      <c r="H429" s="24"/>
      <c r="I429" s="3"/>
      <c r="J429" s="3"/>
      <c r="K429" s="2"/>
    </row>
    <row r="430" spans="2:13" ht="16.5" customHeight="1">
      <c r="B430" s="33"/>
      <c r="E430" s="22"/>
      <c r="G430" s="23"/>
      <c r="H430" s="24"/>
      <c r="I430" s="11"/>
      <c r="K430" s="2"/>
      <c r="M430" s="85" t="s">
        <v>552</v>
      </c>
    </row>
    <row r="431" spans="2:13" ht="16.5" customHeight="1">
      <c r="B431" s="33"/>
      <c r="I431" s="11"/>
      <c r="K431" s="2"/>
      <c r="M431" s="85" t="s">
        <v>552</v>
      </c>
    </row>
    <row r="432" spans="1:13" ht="16.5" customHeight="1">
      <c r="A432" s="14"/>
      <c r="B432" s="42"/>
      <c r="C432" s="8" t="s">
        <v>571</v>
      </c>
      <c r="D432" s="3" t="s">
        <v>563</v>
      </c>
      <c r="E432" s="8" t="s">
        <v>564</v>
      </c>
      <c r="F432" s="3" t="s">
        <v>565</v>
      </c>
      <c r="G432" s="5" t="s">
        <v>566</v>
      </c>
      <c r="H432" s="3" t="s">
        <v>573</v>
      </c>
      <c r="I432" s="11"/>
      <c r="K432" s="2"/>
      <c r="M432" s="85" t="s">
        <v>552</v>
      </c>
    </row>
    <row r="433" spans="1:13" ht="16.5" customHeight="1">
      <c r="A433" s="14"/>
      <c r="B433" s="33"/>
      <c r="C433" s="8">
        <v>2057</v>
      </c>
      <c r="D433" s="3">
        <v>663</v>
      </c>
      <c r="E433" s="8">
        <v>214</v>
      </c>
      <c r="F433" s="3">
        <v>409</v>
      </c>
      <c r="G433" s="3">
        <v>332</v>
      </c>
      <c r="H433" s="7">
        <v>529</v>
      </c>
      <c r="I433" s="8"/>
      <c r="J433" s="8"/>
      <c r="K433" s="2"/>
      <c r="M433" s="85" t="s">
        <v>552</v>
      </c>
    </row>
    <row r="434" spans="1:13" ht="16.5" customHeight="1">
      <c r="A434" s="14"/>
      <c r="B434" s="33"/>
      <c r="C434" s="22"/>
      <c r="D434" s="33"/>
      <c r="E434" s="22"/>
      <c r="G434" s="11"/>
      <c r="H434" s="7" t="s">
        <v>590</v>
      </c>
      <c r="I434" s="8"/>
      <c r="J434" s="8"/>
      <c r="K434" s="2"/>
      <c r="M434" s="85" t="s">
        <v>552</v>
      </c>
    </row>
    <row r="435" spans="2:13" ht="16.5" customHeight="1">
      <c r="B435" s="33"/>
      <c r="C435" s="8" t="s">
        <v>572</v>
      </c>
      <c r="D435" s="3" t="s">
        <v>645</v>
      </c>
      <c r="E435" s="3" t="s">
        <v>567</v>
      </c>
      <c r="F435" s="5" t="s">
        <v>568</v>
      </c>
      <c r="G435" s="5" t="s">
        <v>569</v>
      </c>
      <c r="H435" s="6" t="s">
        <v>570</v>
      </c>
      <c r="I435" s="3"/>
      <c r="J435" s="3"/>
      <c r="K435" s="2"/>
      <c r="M435" s="85" t="s">
        <v>552</v>
      </c>
    </row>
    <row r="436" spans="2:13" ht="16.5" customHeight="1">
      <c r="B436" s="37"/>
      <c r="C436" s="8">
        <v>285</v>
      </c>
      <c r="D436" s="3">
        <v>208</v>
      </c>
      <c r="E436" s="3">
        <v>217</v>
      </c>
      <c r="F436" s="3">
        <v>174</v>
      </c>
      <c r="G436" s="7">
        <v>138</v>
      </c>
      <c r="H436" s="39"/>
      <c r="I436" s="3"/>
      <c r="J436" s="3"/>
      <c r="K436" s="2"/>
      <c r="M436" s="85" t="s">
        <v>552</v>
      </c>
    </row>
    <row r="437" spans="3:13" ht="16.5" customHeight="1">
      <c r="C437" s="39"/>
      <c r="D437" s="2"/>
      <c r="E437" s="22"/>
      <c r="G437" s="39"/>
      <c r="H437" s="32"/>
      <c r="I437" s="3"/>
      <c r="J437" s="3"/>
      <c r="K437" s="2"/>
      <c r="L437" s="11"/>
      <c r="M437" s="85" t="s">
        <v>552</v>
      </c>
    </row>
    <row r="438" spans="3:13" ht="16.5" customHeight="1">
      <c r="C438" s="8">
        <f>C7</f>
        <v>2023</v>
      </c>
      <c r="D438" s="123">
        <f>D7</f>
        <v>1</v>
      </c>
      <c r="E438" s="8" t="s">
        <v>547</v>
      </c>
      <c r="F438" s="3" t="s">
        <v>548</v>
      </c>
      <c r="G438" s="6" t="s">
        <v>559</v>
      </c>
      <c r="H438" s="83"/>
      <c r="I438" s="3"/>
      <c r="J438" s="3"/>
      <c r="K438" s="3" t="s">
        <v>628</v>
      </c>
      <c r="L438" s="11" t="s">
        <v>574</v>
      </c>
      <c r="M438" s="3">
        <v>462</v>
      </c>
    </row>
    <row r="439" spans="1:17" ht="16.5" customHeight="1">
      <c r="A439" s="15" t="s">
        <v>0</v>
      </c>
      <c r="C439" s="8" t="s">
        <v>558</v>
      </c>
      <c r="D439" s="3" t="s">
        <v>546</v>
      </c>
      <c r="E439" s="4">
        <f>E8</f>
        <v>1</v>
      </c>
      <c r="F439" s="3" t="str">
        <f>F8</f>
        <v>2023 MEMB</v>
      </c>
      <c r="G439" s="7" t="s">
        <v>558</v>
      </c>
      <c r="H439" s="83"/>
      <c r="I439" s="3"/>
      <c r="J439" s="3"/>
      <c r="K439" s="3" t="s">
        <v>627</v>
      </c>
      <c r="L439" s="11" t="s">
        <v>575</v>
      </c>
      <c r="M439" s="3" t="s">
        <v>652</v>
      </c>
      <c r="Q439" s="7"/>
    </row>
    <row r="440" spans="1:17" ht="16.5" customHeight="1" thickBot="1">
      <c r="A440" s="2"/>
      <c r="C440" s="22"/>
      <c r="D440" s="121"/>
      <c r="F440" s="11" t="s">
        <v>549</v>
      </c>
      <c r="G440" s="23"/>
      <c r="H440" s="7"/>
      <c r="I440" s="7" t="s">
        <v>633</v>
      </c>
      <c r="J440" s="7" t="s">
        <v>556</v>
      </c>
      <c r="K440" s="3" t="s">
        <v>561</v>
      </c>
      <c r="L440" s="39" t="s">
        <v>576</v>
      </c>
      <c r="M440" s="3" t="s">
        <v>561</v>
      </c>
      <c r="Q440" s="107"/>
    </row>
    <row r="441" spans="1:17" ht="16.5" customHeight="1" thickBot="1">
      <c r="A441" s="106" t="s">
        <v>275</v>
      </c>
      <c r="B441" s="10" t="s">
        <v>537</v>
      </c>
      <c r="C441" s="79">
        <f>C22</f>
        <v>1330</v>
      </c>
      <c r="D441" s="98">
        <f>SUM(C441*1)</f>
        <v>1330</v>
      </c>
      <c r="E441" s="102">
        <f aca="true" t="shared" si="34" ref="E441:E451">SUM(D441-F441)</f>
        <v>107</v>
      </c>
      <c r="F441" s="79">
        <f>F22</f>
        <v>1223</v>
      </c>
      <c r="G441" s="100">
        <f aca="true" t="shared" si="35" ref="G441:G455">SUM(F441/C441)</f>
        <v>0.9195488721804511</v>
      </c>
      <c r="H441" s="79"/>
      <c r="I441" s="104">
        <f>I22</f>
        <v>43</v>
      </c>
      <c r="J441" s="79">
        <f>J22</f>
        <v>135</v>
      </c>
      <c r="K441" s="80">
        <f>K22</f>
        <v>6</v>
      </c>
      <c r="L441" s="73">
        <f>L22</f>
        <v>154</v>
      </c>
      <c r="M441" s="140">
        <f>M22</f>
        <v>1</v>
      </c>
      <c r="Q441" s="107"/>
    </row>
    <row r="442" spans="1:17" ht="16.5" customHeight="1" thickBot="1">
      <c r="A442" s="106" t="s">
        <v>276</v>
      </c>
      <c r="B442" s="10" t="s">
        <v>538</v>
      </c>
      <c r="C442" s="79">
        <f>C53</f>
        <v>1357</v>
      </c>
      <c r="D442" s="98">
        <f aca="true" t="shared" si="36" ref="D442:D452">SUM(C442*1)</f>
        <v>1357</v>
      </c>
      <c r="E442" s="102">
        <f t="shared" si="34"/>
        <v>88</v>
      </c>
      <c r="F442" s="79">
        <f>F53</f>
        <v>1269</v>
      </c>
      <c r="G442" s="100">
        <f t="shared" si="35"/>
        <v>0.9351510685335298</v>
      </c>
      <c r="H442" s="79"/>
      <c r="I442" s="104">
        <f>I53</f>
        <v>59</v>
      </c>
      <c r="J442" s="104">
        <f>J53</f>
        <v>156</v>
      </c>
      <c r="K442" s="79">
        <f>+K53</f>
        <v>25</v>
      </c>
      <c r="L442" s="73">
        <f>L53</f>
        <v>197</v>
      </c>
      <c r="M442" s="140">
        <f>M53</f>
        <v>1</v>
      </c>
      <c r="N442" s="11"/>
      <c r="Q442" s="107"/>
    </row>
    <row r="443" spans="1:17" ht="16.5" customHeight="1" thickBot="1">
      <c r="A443" s="106" t="s">
        <v>277</v>
      </c>
      <c r="B443" s="10" t="s">
        <v>539</v>
      </c>
      <c r="C443" s="102">
        <f>C90</f>
        <v>2622</v>
      </c>
      <c r="D443" s="98">
        <f t="shared" si="36"/>
        <v>2622</v>
      </c>
      <c r="E443" s="103">
        <f t="shared" si="34"/>
        <v>333</v>
      </c>
      <c r="F443" s="102">
        <f>F90</f>
        <v>2289</v>
      </c>
      <c r="G443" s="100">
        <f t="shared" si="35"/>
        <v>0.8729977116704806</v>
      </c>
      <c r="H443" s="79"/>
      <c r="I443" s="104">
        <f>I90</f>
        <v>96</v>
      </c>
      <c r="J443" s="104">
        <f>J90</f>
        <v>219</v>
      </c>
      <c r="K443" s="79">
        <f>K90</f>
        <v>30</v>
      </c>
      <c r="L443" s="73">
        <f>L90</f>
        <v>379</v>
      </c>
      <c r="M443" s="140">
        <f>M90</f>
        <v>0</v>
      </c>
      <c r="Q443" s="107"/>
    </row>
    <row r="444" spans="1:17" ht="16.5" customHeight="1" thickBot="1">
      <c r="A444" s="106" t="s">
        <v>278</v>
      </c>
      <c r="B444" s="10" t="s">
        <v>540</v>
      </c>
      <c r="C444" s="80">
        <f>C157</f>
        <v>4814</v>
      </c>
      <c r="D444" s="98">
        <f t="shared" si="36"/>
        <v>4814</v>
      </c>
      <c r="E444" s="103">
        <f t="shared" si="34"/>
        <v>412</v>
      </c>
      <c r="F444" s="79">
        <f>F157</f>
        <v>4402</v>
      </c>
      <c r="G444" s="100">
        <f t="shared" si="35"/>
        <v>0.9144162858329872</v>
      </c>
      <c r="H444" s="79"/>
      <c r="I444" s="104">
        <f>I157</f>
        <v>128</v>
      </c>
      <c r="J444" s="104">
        <f>J157</f>
        <v>453</v>
      </c>
      <c r="K444" s="79">
        <f>K157</f>
        <v>32</v>
      </c>
      <c r="L444" s="73">
        <f>L157</f>
        <v>775</v>
      </c>
      <c r="M444" s="140">
        <f>M157</f>
        <v>20</v>
      </c>
      <c r="Q444" s="107"/>
    </row>
    <row r="445" spans="1:17" ht="16.5" customHeight="1" thickBot="1">
      <c r="A445" s="106" t="s">
        <v>279</v>
      </c>
      <c r="B445" s="10" t="s">
        <v>541</v>
      </c>
      <c r="C445" s="79">
        <f>C216</f>
        <v>4228</v>
      </c>
      <c r="D445" s="98">
        <f t="shared" si="36"/>
        <v>4228</v>
      </c>
      <c r="E445" s="102">
        <f t="shared" si="34"/>
        <v>527</v>
      </c>
      <c r="F445" s="79">
        <f>F216</f>
        <v>3701</v>
      </c>
      <c r="G445" s="100">
        <f t="shared" si="35"/>
        <v>0.8753547776726585</v>
      </c>
      <c r="H445" s="79"/>
      <c r="I445" s="104">
        <f>I216</f>
        <v>109</v>
      </c>
      <c r="J445" s="104">
        <f>J216</f>
        <v>411</v>
      </c>
      <c r="K445" s="79">
        <f>K216</f>
        <v>76</v>
      </c>
      <c r="L445" s="73">
        <f>L216</f>
        <v>716</v>
      </c>
      <c r="M445" s="140">
        <f>M216</f>
        <v>4</v>
      </c>
      <c r="Q445" s="107"/>
    </row>
    <row r="446" spans="1:17" ht="16.5" customHeight="1" thickBot="1">
      <c r="A446" s="106" t="s">
        <v>280</v>
      </c>
      <c r="B446" s="10" t="s">
        <v>437</v>
      </c>
      <c r="C446" s="79">
        <f>C258</f>
        <v>2659</v>
      </c>
      <c r="D446" s="98">
        <f t="shared" si="36"/>
        <v>2659</v>
      </c>
      <c r="E446" s="102">
        <f t="shared" si="34"/>
        <v>314</v>
      </c>
      <c r="F446" s="79">
        <f>F258</f>
        <v>2345</v>
      </c>
      <c r="G446" s="100">
        <f t="shared" si="35"/>
        <v>0.881910492666416</v>
      </c>
      <c r="H446" s="79"/>
      <c r="I446" s="104">
        <f>I258</f>
        <v>80</v>
      </c>
      <c r="J446" s="104">
        <f>J258</f>
        <v>267</v>
      </c>
      <c r="K446" s="79">
        <f>K258</f>
        <v>40</v>
      </c>
      <c r="L446" s="73">
        <f>L258</f>
        <v>422</v>
      </c>
      <c r="M446" s="140">
        <f>M258</f>
        <v>0</v>
      </c>
      <c r="Q446" s="107"/>
    </row>
    <row r="447" spans="1:17" ht="16.5" customHeight="1" thickBot="1">
      <c r="A447" s="106" t="s">
        <v>281</v>
      </c>
      <c r="B447" s="10" t="s">
        <v>542</v>
      </c>
      <c r="C447" s="101">
        <f>C291</f>
        <v>1202</v>
      </c>
      <c r="D447" s="98">
        <f t="shared" si="36"/>
        <v>1202</v>
      </c>
      <c r="E447" s="103">
        <f>SUM(D447-F447)</f>
        <v>121</v>
      </c>
      <c r="F447" s="101">
        <f>F291</f>
        <v>1081</v>
      </c>
      <c r="G447" s="100">
        <f t="shared" si="35"/>
        <v>0.8993344425956739</v>
      </c>
      <c r="H447" s="79"/>
      <c r="I447" s="104">
        <f>I291</f>
        <v>53</v>
      </c>
      <c r="J447" s="104">
        <f>J291</f>
        <v>229</v>
      </c>
      <c r="K447" s="79">
        <f>K291</f>
        <v>24</v>
      </c>
      <c r="L447" s="73">
        <f>L291</f>
        <v>162</v>
      </c>
      <c r="M447" s="140">
        <f>M291</f>
        <v>2</v>
      </c>
      <c r="Q447" s="107"/>
    </row>
    <row r="448" spans="1:17" ht="16.5" customHeight="1" thickBot="1">
      <c r="A448" s="106" t="s">
        <v>282</v>
      </c>
      <c r="B448" s="10" t="s">
        <v>480</v>
      </c>
      <c r="C448" s="80">
        <f>C341</f>
        <v>2751</v>
      </c>
      <c r="D448" s="98">
        <f t="shared" si="36"/>
        <v>2751</v>
      </c>
      <c r="E448" s="102">
        <f t="shared" si="34"/>
        <v>270</v>
      </c>
      <c r="F448" s="79">
        <f>F341</f>
        <v>2481</v>
      </c>
      <c r="G448" s="100">
        <f t="shared" si="35"/>
        <v>0.9018538713195202</v>
      </c>
      <c r="H448" s="79"/>
      <c r="I448" s="104">
        <f>I341</f>
        <v>91</v>
      </c>
      <c r="J448" s="104">
        <f>J341</f>
        <v>292</v>
      </c>
      <c r="K448" s="79">
        <f>K341</f>
        <v>15</v>
      </c>
      <c r="L448" s="73">
        <f>L341</f>
        <v>417</v>
      </c>
      <c r="M448" s="140">
        <f>M341</f>
        <v>2</v>
      </c>
      <c r="Q448" s="107"/>
    </row>
    <row r="449" spans="1:17" ht="16.5" customHeight="1" thickBot="1">
      <c r="A449" s="106" t="s">
        <v>283</v>
      </c>
      <c r="B449" s="10" t="s">
        <v>543</v>
      </c>
      <c r="C449" s="79">
        <f>C376</f>
        <v>2990</v>
      </c>
      <c r="D449" s="98">
        <f t="shared" si="36"/>
        <v>2990</v>
      </c>
      <c r="E449" s="102">
        <f t="shared" si="34"/>
        <v>454</v>
      </c>
      <c r="F449" s="79">
        <f>F376</f>
        <v>2536</v>
      </c>
      <c r="G449" s="100">
        <f t="shared" si="35"/>
        <v>0.8481605351170568</v>
      </c>
      <c r="H449" s="79"/>
      <c r="I449" s="104">
        <f>I376</f>
        <v>135</v>
      </c>
      <c r="J449" s="104">
        <f>J376</f>
        <v>241</v>
      </c>
      <c r="K449" s="79">
        <f>K376</f>
        <v>36</v>
      </c>
      <c r="L449" s="73">
        <f>L376</f>
        <v>331</v>
      </c>
      <c r="M449" s="140">
        <f>M376</f>
        <v>2</v>
      </c>
      <c r="Q449" s="108"/>
    </row>
    <row r="450" spans="1:17" ht="16.5" customHeight="1" thickBot="1">
      <c r="A450" s="106">
        <v>10</v>
      </c>
      <c r="B450" s="10" t="s">
        <v>544</v>
      </c>
      <c r="C450" s="79">
        <f>C419</f>
        <v>4100</v>
      </c>
      <c r="D450" s="98">
        <f t="shared" si="36"/>
        <v>4100</v>
      </c>
      <c r="E450" s="103">
        <f t="shared" si="34"/>
        <v>525</v>
      </c>
      <c r="F450" s="79">
        <f>F419</f>
        <v>3575</v>
      </c>
      <c r="G450" s="100">
        <f t="shared" si="35"/>
        <v>0.8719512195121951</v>
      </c>
      <c r="H450" s="101"/>
      <c r="I450" s="105">
        <f>I419</f>
        <v>109</v>
      </c>
      <c r="J450" s="105">
        <f>J419</f>
        <v>490</v>
      </c>
      <c r="K450" s="101">
        <f>K419</f>
        <v>74</v>
      </c>
      <c r="L450" s="74">
        <f>L419</f>
        <v>686</v>
      </c>
      <c r="M450" s="145">
        <f>M419</f>
        <v>20</v>
      </c>
      <c r="Q450" s="107"/>
    </row>
    <row r="451" spans="1:18" ht="16.5" customHeight="1" thickBot="1">
      <c r="A451" s="106" t="s">
        <v>186</v>
      </c>
      <c r="B451" s="10" t="s">
        <v>448</v>
      </c>
      <c r="C451" s="80">
        <v>425</v>
      </c>
      <c r="D451" s="98">
        <f t="shared" si="36"/>
        <v>425</v>
      </c>
      <c r="E451" s="102">
        <f t="shared" si="34"/>
        <v>33</v>
      </c>
      <c r="F451" s="80">
        <v>392</v>
      </c>
      <c r="G451" s="100">
        <f>SUM(F451/C451)</f>
        <v>0.9223529411764706</v>
      </c>
      <c r="H451" s="97"/>
      <c r="I451" s="80">
        <v>0</v>
      </c>
      <c r="J451" s="104">
        <v>278</v>
      </c>
      <c r="K451" s="79">
        <v>10</v>
      </c>
      <c r="L451" s="73">
        <f>33+9+1</f>
        <v>43</v>
      </c>
      <c r="M451" s="140">
        <v>29</v>
      </c>
      <c r="Q451" s="107"/>
      <c r="R451" s="56"/>
    </row>
    <row r="452" spans="1:17" ht="16.5" customHeight="1" thickBot="1">
      <c r="A452" s="106" t="s">
        <v>284</v>
      </c>
      <c r="B452" s="10" t="s">
        <v>545</v>
      </c>
      <c r="C452" s="79">
        <v>2056</v>
      </c>
      <c r="D452" s="98">
        <f t="shared" si="36"/>
        <v>2056</v>
      </c>
      <c r="E452" s="103">
        <f>SUM(D452-F452)</f>
        <v>995</v>
      </c>
      <c r="F452" s="79">
        <v>1061</v>
      </c>
      <c r="G452" s="100">
        <f t="shared" si="35"/>
        <v>0.5160505836575876</v>
      </c>
      <c r="H452" s="150"/>
      <c r="I452" s="104">
        <v>0</v>
      </c>
      <c r="J452" s="104">
        <v>23</v>
      </c>
      <c r="K452" s="79"/>
      <c r="L452" s="73">
        <f>890+34+34+25+15</f>
        <v>998</v>
      </c>
      <c r="M452" s="146"/>
      <c r="Q452" s="3"/>
    </row>
    <row r="453" spans="1:17" ht="23.25" customHeight="1" thickBot="1">
      <c r="A453" s="2"/>
      <c r="B453" s="10"/>
      <c r="C453" s="124">
        <f>SUM(C441:C452)</f>
        <v>30534</v>
      </c>
      <c r="D453" s="134">
        <f>SUM(C453*0.65)</f>
        <v>19847.100000000002</v>
      </c>
      <c r="E453" s="103"/>
      <c r="F453" s="79"/>
      <c r="G453" s="100"/>
      <c r="H453" s="120"/>
      <c r="I453" s="104"/>
      <c r="J453" s="113"/>
      <c r="K453" s="79"/>
      <c r="L453" s="73"/>
      <c r="M453" s="146"/>
      <c r="Q453" s="3"/>
    </row>
    <row r="454" spans="1:17" ht="16.5" customHeight="1" thickBot="1">
      <c r="A454" s="2"/>
      <c r="B454" s="10"/>
      <c r="C454" s="127"/>
      <c r="D454" s="98"/>
      <c r="E454" s="103"/>
      <c r="F454" s="79"/>
      <c r="G454" s="100"/>
      <c r="H454" s="120"/>
      <c r="I454" s="104"/>
      <c r="J454" s="113"/>
      <c r="K454" s="79"/>
      <c r="L454" s="73"/>
      <c r="M454" s="146"/>
      <c r="Q454" s="3"/>
    </row>
    <row r="455" spans="1:13" ht="16.5" customHeight="1" thickBot="1">
      <c r="A455" s="2"/>
      <c r="B455" s="67" t="s">
        <v>632</v>
      </c>
      <c r="C455" s="98">
        <v>30534</v>
      </c>
      <c r="D455" s="98">
        <f>SUM(C455*1)</f>
        <v>30534</v>
      </c>
      <c r="E455" s="102">
        <f>SUM(D455-F455)</f>
        <v>4179</v>
      </c>
      <c r="F455" s="103">
        <f>SUM(F441:F452)</f>
        <v>26355</v>
      </c>
      <c r="G455" s="100">
        <f t="shared" si="35"/>
        <v>0.8631361760660248</v>
      </c>
      <c r="H455" s="78"/>
      <c r="I455" s="79">
        <f>+SUM(I441:I452)</f>
        <v>903</v>
      </c>
      <c r="J455" s="78">
        <f>+SUM(J441:J452)</f>
        <v>3194</v>
      </c>
      <c r="K455" s="79">
        <f>+SUM(K441:K452)</f>
        <v>368</v>
      </c>
      <c r="L455" s="73">
        <f>+SUM(L441:L452)</f>
        <v>5280</v>
      </c>
      <c r="M455" s="146">
        <f>SUM(M441:M451)</f>
        <v>81</v>
      </c>
    </row>
    <row r="456" spans="2:13" ht="16.5" customHeight="1">
      <c r="B456" s="67"/>
      <c r="C456" s="49"/>
      <c r="D456" s="75"/>
      <c r="E456" s="49"/>
      <c r="F456" s="49"/>
      <c r="G456" s="75"/>
      <c r="H456" s="87"/>
      <c r="I456" s="87"/>
      <c r="L456" s="40"/>
      <c r="M456" s="11"/>
    </row>
    <row r="457" spans="1:12" ht="16.5" customHeight="1" hidden="1" thickBot="1">
      <c r="A457" s="93"/>
      <c r="B457" s="94" t="s">
        <v>631</v>
      </c>
      <c r="C457" s="95"/>
      <c r="D457" s="74">
        <f>SUM(C457*0.95)</f>
        <v>0</v>
      </c>
      <c r="E457" s="96">
        <f>+SUM(D457-F457)</f>
        <v>-26355</v>
      </c>
      <c r="F457" s="97">
        <f>SUM(F441:F452)</f>
        <v>26355</v>
      </c>
      <c r="G457" s="90" t="e">
        <f>SUM(F457/C457)</f>
        <v>#DIV/0!</v>
      </c>
      <c r="H457" s="45"/>
      <c r="I457" s="45"/>
      <c r="J457" s="41"/>
      <c r="K457" s="41"/>
      <c r="L457" s="41"/>
    </row>
    <row r="458" spans="1:12" ht="16.5" customHeight="1">
      <c r="A458" s="84" t="str">
        <f>A23</f>
        <v> TARGET DATE : 05/17/2023    100%</v>
      </c>
      <c r="B458" s="82"/>
      <c r="C458" s="8"/>
      <c r="D458" s="49"/>
      <c r="E458" s="49"/>
      <c r="F458" s="49"/>
      <c r="G458" s="83"/>
      <c r="H458" s="83"/>
      <c r="I458" s="83"/>
      <c r="L458" s="40"/>
    </row>
    <row r="459" spans="1:11" ht="20.25" customHeight="1">
      <c r="A459" s="63"/>
      <c r="B459" s="159"/>
      <c r="C459" s="159"/>
      <c r="D459" s="159"/>
      <c r="E459" s="159"/>
      <c r="F459" s="159"/>
      <c r="G459" s="159"/>
      <c r="H459" s="159"/>
      <c r="I459" s="34"/>
      <c r="J459" s="34"/>
      <c r="K459" s="34"/>
    </row>
    <row r="460" spans="1:11" ht="16.5" customHeight="1">
      <c r="A460" s="63"/>
      <c r="B460" s="159"/>
      <c r="C460" s="159"/>
      <c r="D460" s="159"/>
      <c r="E460" s="159"/>
      <c r="F460" s="159"/>
      <c r="G460" s="159"/>
      <c r="H460" s="159"/>
      <c r="I460" s="34"/>
      <c r="J460" s="34"/>
      <c r="K460" s="34"/>
    </row>
    <row r="461" spans="1:11" ht="16.5" customHeight="1">
      <c r="A461" s="158" t="s">
        <v>644</v>
      </c>
      <c r="B461" s="158"/>
      <c r="C461" s="158"/>
      <c r="D461" s="158"/>
      <c r="E461" s="158"/>
      <c r="F461" s="158"/>
      <c r="G461" s="158"/>
      <c r="H461" s="158"/>
      <c r="I461" s="109"/>
      <c r="J461" s="2"/>
      <c r="K461" s="2"/>
    </row>
    <row r="462" spans="1:11" ht="16.5" customHeight="1">
      <c r="A462" s="2"/>
      <c r="B462" s="158" t="s">
        <v>593</v>
      </c>
      <c r="C462" s="158"/>
      <c r="D462" s="158"/>
      <c r="E462" s="158"/>
      <c r="F462" s="158"/>
      <c r="G462" s="158"/>
      <c r="H462" s="158"/>
      <c r="I462" s="109"/>
      <c r="J462" s="34"/>
      <c r="K462" s="34"/>
    </row>
    <row r="463" spans="1:11" ht="16.5" customHeight="1">
      <c r="A463" s="63"/>
      <c r="B463" s="34"/>
      <c r="C463" s="34"/>
      <c r="D463" s="34"/>
      <c r="E463" s="34"/>
      <c r="F463" s="34"/>
      <c r="G463" s="34"/>
      <c r="H463" s="34"/>
      <c r="I463" s="34"/>
      <c r="J463" s="34"/>
      <c r="K463" s="34"/>
    </row>
    <row r="464" spans="1:2" ht="16.5" customHeight="1">
      <c r="A464" s="2"/>
      <c r="B464" s="2" t="s">
        <v>583</v>
      </c>
    </row>
    <row r="465" spans="1:11" ht="16.5" customHeight="1">
      <c r="A465" s="63"/>
      <c r="B465" s="2" t="s">
        <v>591</v>
      </c>
      <c r="J465" s="34"/>
      <c r="K465" s="34"/>
    </row>
    <row r="466" spans="2:11" ht="16.5" customHeight="1">
      <c r="B466" s="2" t="s">
        <v>584</v>
      </c>
      <c r="J466" s="34"/>
      <c r="K466" s="34"/>
    </row>
    <row r="467" ht="16.5" customHeight="1">
      <c r="B467" s="33" t="s">
        <v>585</v>
      </c>
    </row>
    <row r="468" ht="16.5" customHeight="1">
      <c r="B468" s="33" t="s">
        <v>586</v>
      </c>
    </row>
    <row r="469" spans="2:12" ht="16.5" customHeight="1">
      <c r="B469" s="33" t="s">
        <v>587</v>
      </c>
      <c r="L469" s="34"/>
    </row>
    <row r="472" ht="16.5" customHeight="1">
      <c r="B472" s="2" t="s">
        <v>588</v>
      </c>
    </row>
    <row r="473" ht="16.5" customHeight="1">
      <c r="B473" s="2" t="s">
        <v>589</v>
      </c>
    </row>
    <row r="474" ht="16.5" customHeight="1">
      <c r="B474" s="2" t="s">
        <v>582</v>
      </c>
    </row>
    <row r="476" spans="2:20" ht="16.5" customHeight="1">
      <c r="B476" s="130"/>
      <c r="C476" s="132"/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  <c r="N476" s="34"/>
      <c r="O476" s="34"/>
      <c r="P476" s="34"/>
      <c r="Q476" s="34"/>
      <c r="R476" s="34"/>
      <c r="S476" s="34"/>
      <c r="T476" s="34"/>
    </row>
    <row r="477" ht="16.5" customHeight="1">
      <c r="B477" s="130"/>
    </row>
    <row r="478" spans="1:12" ht="16.5" customHeight="1">
      <c r="A478" s="2"/>
      <c r="B478" s="131"/>
      <c r="C478" s="2"/>
      <c r="D478" s="14"/>
      <c r="E478" s="14"/>
      <c r="F478" s="14"/>
      <c r="G478" s="14"/>
      <c r="H478" s="14"/>
      <c r="I478" s="14"/>
      <c r="J478" s="14"/>
      <c r="K478" s="14"/>
      <c r="L478" s="14"/>
    </row>
    <row r="479" spans="2:12" ht="16.5" customHeight="1">
      <c r="B479" s="131"/>
      <c r="C479" s="10"/>
      <c r="D479" s="66"/>
      <c r="E479" s="66"/>
      <c r="F479" s="66"/>
      <c r="G479" s="66"/>
      <c r="H479" s="66"/>
      <c r="I479" s="66"/>
      <c r="J479" s="66"/>
      <c r="K479" s="66"/>
      <c r="L479" s="66"/>
    </row>
    <row r="480" ht="16.5" customHeight="1">
      <c r="B480" s="131"/>
    </row>
    <row r="481" ht="16.5" customHeight="1">
      <c r="B481" s="131"/>
    </row>
    <row r="486" spans="1:13" ht="16.5" customHeight="1">
      <c r="A486" s="58"/>
      <c r="B486" s="56"/>
      <c r="C486" s="57"/>
      <c r="D486" s="57"/>
      <c r="E486" s="57"/>
      <c r="F486" s="57"/>
      <c r="G486" s="56"/>
      <c r="H486" s="56"/>
      <c r="I486" s="56"/>
      <c r="J486" s="57"/>
      <c r="K486" s="57"/>
      <c r="L486" s="56"/>
      <c r="M486" s="56"/>
    </row>
    <row r="487" spans="1:13" ht="16.5" customHeight="1">
      <c r="A487" s="58"/>
      <c r="B487" s="56"/>
      <c r="C487" s="57"/>
      <c r="D487" s="57"/>
      <c r="E487" s="57"/>
      <c r="F487" s="57"/>
      <c r="G487" s="56"/>
      <c r="H487" s="56"/>
      <c r="I487" s="56"/>
      <c r="J487" s="57"/>
      <c r="K487" s="57"/>
      <c r="L487" s="56"/>
      <c r="M487" s="56"/>
    </row>
    <row r="488" spans="1:13" ht="16.5" customHeight="1">
      <c r="A488" s="58"/>
      <c r="B488" s="56"/>
      <c r="C488" s="57"/>
      <c r="D488" s="57"/>
      <c r="E488" s="57"/>
      <c r="F488" s="57"/>
      <c r="G488" s="56"/>
      <c r="H488" s="56"/>
      <c r="I488" s="56"/>
      <c r="J488" s="57"/>
      <c r="K488" s="57"/>
      <c r="L488" s="56"/>
      <c r="M488" s="56"/>
    </row>
    <row r="489" spans="1:13" ht="16.5" customHeight="1">
      <c r="A489" s="58"/>
      <c r="B489" s="56"/>
      <c r="C489" s="57"/>
      <c r="D489" s="57"/>
      <c r="E489" s="57"/>
      <c r="F489" s="57"/>
      <c r="G489" s="56"/>
      <c r="H489" s="56"/>
      <c r="I489" s="56"/>
      <c r="J489" s="57"/>
      <c r="K489" s="57"/>
      <c r="L489" s="56"/>
      <c r="M489" s="56"/>
    </row>
    <row r="490" spans="1:13" ht="16.5" customHeight="1">
      <c r="A490" s="58"/>
      <c r="B490" s="56"/>
      <c r="C490" s="57"/>
      <c r="D490" s="57"/>
      <c r="E490" s="57"/>
      <c r="F490" s="57"/>
      <c r="G490" s="56"/>
      <c r="H490" s="56"/>
      <c r="I490" s="56"/>
      <c r="J490" s="57"/>
      <c r="K490" s="57"/>
      <c r="L490" s="56"/>
      <c r="M490" s="56"/>
    </row>
    <row r="491" spans="1:13" ht="16.5" customHeight="1">
      <c r="A491" s="58"/>
      <c r="B491" s="56"/>
      <c r="C491" s="57"/>
      <c r="D491" s="57"/>
      <c r="E491" s="57"/>
      <c r="F491" s="57"/>
      <c r="G491" s="56"/>
      <c r="H491" s="56"/>
      <c r="I491" s="56"/>
      <c r="J491" s="57"/>
      <c r="K491" s="57"/>
      <c r="L491" s="56"/>
      <c r="M491" s="56"/>
    </row>
    <row r="492" spans="1:13" ht="16.5" customHeight="1">
      <c r="A492" s="58"/>
      <c r="B492" s="56"/>
      <c r="C492" s="57"/>
      <c r="D492" s="57"/>
      <c r="E492" s="57"/>
      <c r="F492" s="57"/>
      <c r="G492" s="56"/>
      <c r="H492" s="56"/>
      <c r="I492" s="56"/>
      <c r="J492" s="57"/>
      <c r="K492" s="57"/>
      <c r="L492" s="56"/>
      <c r="M492" s="56"/>
    </row>
    <row r="493" spans="1:13" ht="16.5" customHeight="1">
      <c r="A493" s="58"/>
      <c r="B493" s="56"/>
      <c r="C493" s="57"/>
      <c r="D493" s="57"/>
      <c r="E493" s="57"/>
      <c r="F493" s="57"/>
      <c r="G493" s="56"/>
      <c r="H493" s="56"/>
      <c r="I493" s="56"/>
      <c r="J493" s="57"/>
      <c r="K493" s="57"/>
      <c r="L493" s="56"/>
      <c r="M493" s="56"/>
    </row>
    <row r="494" spans="1:13" ht="16.5" customHeight="1">
      <c r="A494" s="58"/>
      <c r="B494" s="56"/>
      <c r="C494" s="57"/>
      <c r="D494" s="57"/>
      <c r="E494" s="57"/>
      <c r="F494" s="57"/>
      <c r="G494" s="56"/>
      <c r="H494" s="56"/>
      <c r="I494" s="56"/>
      <c r="J494" s="57"/>
      <c r="K494" s="57"/>
      <c r="L494" s="56"/>
      <c r="M494" s="56"/>
    </row>
  </sheetData>
  <sheetProtection/>
  <mergeCells count="4">
    <mergeCell ref="B462:H462"/>
    <mergeCell ref="A461:H461"/>
    <mergeCell ref="B459:H459"/>
    <mergeCell ref="B460:H460"/>
  </mergeCells>
  <printOptions/>
  <pageMargins left="0.25" right="0.25" top="0.75" bottom="0.75" header="0.3" footer="0.3"/>
  <pageSetup fitToHeight="0" fitToWidth="1" horizontalDpi="600" verticalDpi="600" orientation="portrait" scale="65" r:id="rId1"/>
  <rowBreaks count="10" manualBreakCount="10">
    <brk id="29" max="12" man="1"/>
    <brk id="59" max="12" man="1"/>
    <brk id="95" max="12" man="1"/>
    <brk id="159" max="12" man="1"/>
    <brk id="218" max="12" man="1"/>
    <brk id="261" max="12" man="1"/>
    <brk id="299" max="12" man="1"/>
    <brk id="346" max="12" man="1"/>
    <brk id="378" max="12" man="1"/>
    <brk id="422" max="12" man="1"/>
  </rowBreaks>
  <colBreaks count="1" manualBreakCount="1">
    <brk id="1" max="4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Hall</dc:creator>
  <cp:keywords/>
  <dc:description/>
  <cp:lastModifiedBy>Admin</cp:lastModifiedBy>
  <cp:lastPrinted>2023-07-13T18:38:46Z</cp:lastPrinted>
  <dcterms:created xsi:type="dcterms:W3CDTF">2003-07-17T16:25:36Z</dcterms:created>
  <dcterms:modified xsi:type="dcterms:W3CDTF">2023-07-27T19:04:59Z</dcterms:modified>
  <cp:category/>
  <cp:version/>
  <cp:contentType/>
  <cp:contentStatus/>
</cp:coreProperties>
</file>